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Bill\My Documents\Finance\Budgets\FY 2026\Board Meeting Items, FY2026\FInancial Reports FY 2026\"/>
    </mc:Choice>
  </mc:AlternateContent>
  <bookViews>
    <workbookView xWindow="0" yWindow="0" windowWidth="23730" windowHeight="13620" activeTab="4"/>
  </bookViews>
  <sheets>
    <sheet name="5021" sheetId="1" r:id="rId1"/>
    <sheet name="Grant 3420" sheetId="4" r:id="rId2"/>
    <sheet name="Grant 3430" sheetId="3" r:id="rId3"/>
    <sheet name="Grant 3440" sheetId="5" r:id="rId4"/>
    <sheet name="Grant 3460" sheetId="2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DateFilter" localSheetId="1">[6]Options!$D$7</definedName>
    <definedName name="DateFilter" localSheetId="2">[1]Options!$D$7</definedName>
    <definedName name="DateFilter" localSheetId="3">[7]Options!$D$7</definedName>
    <definedName name="DateFilter" localSheetId="4">[2]Options!$D$7</definedName>
    <definedName name="DateFilter">[3]Options!$D$7</definedName>
    <definedName name="Department">[3]Options!$D$8</definedName>
    <definedName name="DepartmentManagerCode">[4]Options!$D$6</definedName>
    <definedName name="Email" localSheetId="1">'Grant 3420'!$D$6</definedName>
    <definedName name="Email" localSheetId="2">'Grant 3430'!$D$6</definedName>
    <definedName name="Email" localSheetId="3">'Grant 3440'!$D$6</definedName>
    <definedName name="Email">'Grant 3460'!$D$6</definedName>
    <definedName name="Grant" localSheetId="1">[6]Options!$D$8</definedName>
    <definedName name="Grant" localSheetId="2">[1]Options!$D$8</definedName>
    <definedName name="Grant" localSheetId="3">[7]Options!$D$8</definedName>
    <definedName name="Grant">[2]Options!$D$8</definedName>
    <definedName name="_xlnm.Print_Titles" localSheetId="1">'Grant 3420'!$4:$15</definedName>
    <definedName name="_xlnm.Print_Titles" localSheetId="2">'Grant 3430'!$4:$15</definedName>
    <definedName name="_xlnm.Print_Titles" localSheetId="3">'Grant 3440'!$4:$15</definedName>
    <definedName name="_xlnm.Print_Titles" localSheetId="4">'Grant 3460'!$4:$15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6" i="5" l="1"/>
  <c r="Q46" i="5"/>
  <c r="P46" i="5"/>
  <c r="O46" i="5"/>
  <c r="N46" i="5"/>
  <c r="K46" i="5"/>
  <c r="T45" i="5"/>
  <c r="Q45" i="5"/>
  <c r="P45" i="5"/>
  <c r="O45" i="5"/>
  <c r="N45" i="5"/>
  <c r="K45" i="5"/>
  <c r="T44" i="5"/>
  <c r="Q44" i="5"/>
  <c r="P44" i="5"/>
  <c r="O44" i="5"/>
  <c r="N44" i="5"/>
  <c r="K44" i="5"/>
  <c r="T43" i="5"/>
  <c r="Q43" i="5"/>
  <c r="P43" i="5"/>
  <c r="O43" i="5"/>
  <c r="N43" i="5"/>
  <c r="K43" i="5"/>
  <c r="J42" i="5"/>
  <c r="G42" i="5"/>
  <c r="F42" i="5"/>
  <c r="F47" i="5" s="1"/>
  <c r="T37" i="5"/>
  <c r="Q37" i="5"/>
  <c r="P37" i="5"/>
  <c r="O37" i="5"/>
  <c r="N37" i="5"/>
  <c r="K37" i="5"/>
  <c r="T36" i="5"/>
  <c r="Q36" i="5"/>
  <c r="P36" i="5"/>
  <c r="O36" i="5"/>
  <c r="N36" i="5"/>
  <c r="K36" i="5"/>
  <c r="T35" i="5"/>
  <c r="Q35" i="5"/>
  <c r="P35" i="5"/>
  <c r="O35" i="5"/>
  <c r="N35" i="5"/>
  <c r="K35" i="5"/>
  <c r="T34" i="5"/>
  <c r="Q34" i="5"/>
  <c r="P34" i="5"/>
  <c r="O34" i="5"/>
  <c r="N34" i="5"/>
  <c r="K34" i="5"/>
  <c r="T33" i="5"/>
  <c r="Q33" i="5"/>
  <c r="P33" i="5"/>
  <c r="O33" i="5"/>
  <c r="N33" i="5"/>
  <c r="K33" i="5"/>
  <c r="T32" i="5"/>
  <c r="Q32" i="5"/>
  <c r="P32" i="5"/>
  <c r="O32" i="5"/>
  <c r="N32" i="5"/>
  <c r="K32" i="5"/>
  <c r="T31" i="5"/>
  <c r="Q31" i="5"/>
  <c r="P31" i="5"/>
  <c r="O31" i="5"/>
  <c r="N31" i="5"/>
  <c r="K31" i="5"/>
  <c r="T30" i="5"/>
  <c r="Q30" i="5"/>
  <c r="P30" i="5"/>
  <c r="O30" i="5"/>
  <c r="N30" i="5"/>
  <c r="K30" i="5"/>
  <c r="T29" i="5"/>
  <c r="Q29" i="5"/>
  <c r="P29" i="5"/>
  <c r="O29" i="5"/>
  <c r="N29" i="5"/>
  <c r="K29" i="5"/>
  <c r="T28" i="5"/>
  <c r="Q28" i="5"/>
  <c r="P28" i="5"/>
  <c r="O28" i="5"/>
  <c r="N28" i="5"/>
  <c r="K28" i="5"/>
  <c r="J27" i="5"/>
  <c r="G27" i="5"/>
  <c r="F27" i="5"/>
  <c r="T22" i="5"/>
  <c r="Q22" i="5"/>
  <c r="P22" i="5"/>
  <c r="O22" i="5"/>
  <c r="N22" i="5"/>
  <c r="K22" i="5"/>
  <c r="T21" i="5"/>
  <c r="Q21" i="5"/>
  <c r="P21" i="5"/>
  <c r="O21" i="5"/>
  <c r="N21" i="5"/>
  <c r="K21" i="5"/>
  <c r="T20" i="5"/>
  <c r="Q20" i="5"/>
  <c r="P20" i="5"/>
  <c r="O20" i="5"/>
  <c r="N20" i="5"/>
  <c r="K20" i="5"/>
  <c r="T19" i="5"/>
  <c r="Q19" i="5"/>
  <c r="P19" i="5"/>
  <c r="O19" i="5"/>
  <c r="N19" i="5"/>
  <c r="K19" i="5"/>
  <c r="F23" i="5"/>
  <c r="J18" i="5"/>
  <c r="G18" i="5"/>
  <c r="F18" i="5"/>
  <c r="T51" i="5"/>
  <c r="I12" i="5"/>
  <c r="I11" i="5"/>
  <c r="I10" i="5"/>
  <c r="C6" i="5"/>
  <c r="J10" i="5" s="1"/>
  <c r="C5" i="5"/>
  <c r="C4" i="5"/>
  <c r="C3" i="5"/>
  <c r="C2" i="5"/>
  <c r="C9" i="5" s="1"/>
  <c r="T24" i="5" l="1"/>
  <c r="T39" i="5"/>
  <c r="T48" i="5"/>
  <c r="G23" i="5"/>
  <c r="G19" i="5"/>
  <c r="G20" i="5" s="1"/>
  <c r="G21" i="5" s="1"/>
  <c r="G22" i="5" s="1"/>
  <c r="G47" i="5"/>
  <c r="G43" i="5"/>
  <c r="G44" i="5" s="1"/>
  <c r="G45" i="5" s="1"/>
  <c r="G46" i="5" s="1"/>
  <c r="F28" i="5"/>
  <c r="F29" i="5" s="1"/>
  <c r="F30" i="5" s="1"/>
  <c r="F31" i="5" s="1"/>
  <c r="F32" i="5" s="1"/>
  <c r="F33" i="5" s="1"/>
  <c r="F34" i="5" s="1"/>
  <c r="F35" i="5" s="1"/>
  <c r="F36" i="5" s="1"/>
  <c r="F37" i="5" s="1"/>
  <c r="F38" i="5"/>
  <c r="G28" i="5"/>
  <c r="G29" i="5" s="1"/>
  <c r="G30" i="5" s="1"/>
  <c r="G31" i="5" s="1"/>
  <c r="G32" i="5" s="1"/>
  <c r="G33" i="5" s="1"/>
  <c r="G34" i="5" s="1"/>
  <c r="G35" i="5" s="1"/>
  <c r="G36" i="5" s="1"/>
  <c r="G37" i="5" s="1"/>
  <c r="G38" i="5"/>
  <c r="I8" i="5"/>
  <c r="I27" i="5"/>
  <c r="I39" i="5" s="1"/>
  <c r="F19" i="5"/>
  <c r="F20" i="5" s="1"/>
  <c r="F21" i="5" s="1"/>
  <c r="F22" i="5" s="1"/>
  <c r="F43" i="5"/>
  <c r="F44" i="5" s="1"/>
  <c r="F45" i="5" s="1"/>
  <c r="F46" i="5" s="1"/>
  <c r="I18" i="5"/>
  <c r="I24" i="5" s="1"/>
  <c r="I42" i="5"/>
  <c r="I48" i="5" s="1"/>
  <c r="F18" i="4" l="1"/>
  <c r="G18" i="4"/>
  <c r="I18" i="4" s="1"/>
  <c r="J18" i="4"/>
  <c r="C2" i="4"/>
  <c r="C9" i="4" s="1"/>
  <c r="C3" i="4"/>
  <c r="C4" i="4"/>
  <c r="C5" i="4"/>
  <c r="C6" i="4"/>
  <c r="J10" i="4" s="1"/>
  <c r="I10" i="4"/>
  <c r="I11" i="4"/>
  <c r="I12" i="4"/>
  <c r="K19" i="4"/>
  <c r="N19" i="4"/>
  <c r="O19" i="4"/>
  <c r="P19" i="4"/>
  <c r="Q19" i="4"/>
  <c r="T19" i="4"/>
  <c r="K20" i="4"/>
  <c r="N20" i="4"/>
  <c r="O20" i="4"/>
  <c r="P20" i="4"/>
  <c r="Q20" i="4"/>
  <c r="T20" i="4"/>
  <c r="K21" i="4"/>
  <c r="N21" i="4"/>
  <c r="O21" i="4"/>
  <c r="P21" i="4"/>
  <c r="Q21" i="4"/>
  <c r="T21" i="4"/>
  <c r="K22" i="4"/>
  <c r="N22" i="4"/>
  <c r="O22" i="4"/>
  <c r="P22" i="4"/>
  <c r="Q22" i="4"/>
  <c r="T22" i="4"/>
  <c r="K23" i="4"/>
  <c r="N23" i="4"/>
  <c r="O23" i="4"/>
  <c r="P23" i="4"/>
  <c r="Q23" i="4"/>
  <c r="T23" i="4"/>
  <c r="K24" i="4"/>
  <c r="N24" i="4"/>
  <c r="O24" i="4"/>
  <c r="P24" i="4"/>
  <c r="Q24" i="4"/>
  <c r="T24" i="4"/>
  <c r="K25" i="4"/>
  <c r="N25" i="4"/>
  <c r="O25" i="4"/>
  <c r="P25" i="4"/>
  <c r="Q25" i="4"/>
  <c r="T25" i="4"/>
  <c r="K26" i="4"/>
  <c r="N26" i="4"/>
  <c r="O26" i="4"/>
  <c r="P26" i="4"/>
  <c r="Q26" i="4"/>
  <c r="T26" i="4"/>
  <c r="K27" i="4"/>
  <c r="N27" i="4"/>
  <c r="O27" i="4"/>
  <c r="P27" i="4"/>
  <c r="Q27" i="4"/>
  <c r="T27" i="4"/>
  <c r="K28" i="4"/>
  <c r="N28" i="4"/>
  <c r="O28" i="4"/>
  <c r="P28" i="4"/>
  <c r="Q28" i="4"/>
  <c r="T28" i="4"/>
  <c r="K29" i="4"/>
  <c r="N29" i="4"/>
  <c r="O29" i="4"/>
  <c r="P29" i="4"/>
  <c r="Q29" i="4"/>
  <c r="T29" i="4"/>
  <c r="K30" i="4"/>
  <c r="N30" i="4"/>
  <c r="O30" i="4"/>
  <c r="P30" i="4"/>
  <c r="Q30" i="4"/>
  <c r="T30" i="4"/>
  <c r="K31" i="4"/>
  <c r="N31" i="4"/>
  <c r="O31" i="4"/>
  <c r="P31" i="4"/>
  <c r="Q31" i="4"/>
  <c r="T31" i="4"/>
  <c r="K32" i="4"/>
  <c r="N32" i="4"/>
  <c r="O32" i="4"/>
  <c r="P32" i="4"/>
  <c r="Q32" i="4"/>
  <c r="T32" i="4"/>
  <c r="K33" i="4"/>
  <c r="N33" i="4"/>
  <c r="O33" i="4"/>
  <c r="P33" i="4"/>
  <c r="Q33" i="4"/>
  <c r="T33" i="4"/>
  <c r="K34" i="4"/>
  <c r="N34" i="4"/>
  <c r="O34" i="4"/>
  <c r="P34" i="4"/>
  <c r="Q34" i="4"/>
  <c r="T34" i="4"/>
  <c r="K35" i="4"/>
  <c r="N35" i="4"/>
  <c r="O35" i="4"/>
  <c r="P35" i="4"/>
  <c r="Q35" i="4"/>
  <c r="T35" i="4"/>
  <c r="K36" i="4"/>
  <c r="N36" i="4"/>
  <c r="O36" i="4"/>
  <c r="P36" i="4"/>
  <c r="Q36" i="4"/>
  <c r="T36" i="4"/>
  <c r="K37" i="4"/>
  <c r="N37" i="4"/>
  <c r="O37" i="4"/>
  <c r="P37" i="4"/>
  <c r="Q37" i="4"/>
  <c r="T37" i="4"/>
  <c r="F42" i="4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G42" i="4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G79" i="4" s="1"/>
  <c r="G80" i="4" s="1"/>
  <c r="G81" i="4" s="1"/>
  <c r="G82" i="4" s="1"/>
  <c r="J42" i="4"/>
  <c r="K43" i="4"/>
  <c r="N43" i="4"/>
  <c r="O43" i="4"/>
  <c r="P43" i="4"/>
  <c r="Q43" i="4"/>
  <c r="T43" i="4"/>
  <c r="K44" i="4"/>
  <c r="N44" i="4"/>
  <c r="O44" i="4"/>
  <c r="P44" i="4"/>
  <c r="Q44" i="4"/>
  <c r="T44" i="4"/>
  <c r="K45" i="4"/>
  <c r="N45" i="4"/>
  <c r="O45" i="4"/>
  <c r="P45" i="4"/>
  <c r="Q45" i="4"/>
  <c r="T45" i="4"/>
  <c r="K46" i="4"/>
  <c r="N46" i="4"/>
  <c r="O46" i="4"/>
  <c r="P46" i="4"/>
  <c r="Q46" i="4"/>
  <c r="T46" i="4"/>
  <c r="K47" i="4"/>
  <c r="N47" i="4"/>
  <c r="O47" i="4"/>
  <c r="P47" i="4"/>
  <c r="Q47" i="4"/>
  <c r="T47" i="4"/>
  <c r="K48" i="4"/>
  <c r="N48" i="4"/>
  <c r="O48" i="4"/>
  <c r="P48" i="4"/>
  <c r="Q48" i="4"/>
  <c r="T48" i="4"/>
  <c r="K49" i="4"/>
  <c r="N49" i="4"/>
  <c r="O49" i="4"/>
  <c r="P49" i="4"/>
  <c r="Q49" i="4"/>
  <c r="T49" i="4"/>
  <c r="K50" i="4"/>
  <c r="N50" i="4"/>
  <c r="O50" i="4"/>
  <c r="P50" i="4"/>
  <c r="Q50" i="4"/>
  <c r="T50" i="4"/>
  <c r="K51" i="4"/>
  <c r="N51" i="4"/>
  <c r="O51" i="4"/>
  <c r="P51" i="4"/>
  <c r="Q51" i="4"/>
  <c r="T51" i="4"/>
  <c r="K52" i="4"/>
  <c r="N52" i="4"/>
  <c r="O52" i="4"/>
  <c r="P52" i="4"/>
  <c r="Q52" i="4"/>
  <c r="T52" i="4"/>
  <c r="K53" i="4"/>
  <c r="N53" i="4"/>
  <c r="O53" i="4"/>
  <c r="P53" i="4"/>
  <c r="Q53" i="4"/>
  <c r="T53" i="4"/>
  <c r="K54" i="4"/>
  <c r="N54" i="4"/>
  <c r="O54" i="4"/>
  <c r="P54" i="4"/>
  <c r="Q54" i="4"/>
  <c r="T54" i="4"/>
  <c r="K55" i="4"/>
  <c r="N55" i="4"/>
  <c r="O55" i="4"/>
  <c r="P55" i="4"/>
  <c r="Q55" i="4"/>
  <c r="T55" i="4"/>
  <c r="K56" i="4"/>
  <c r="N56" i="4"/>
  <c r="O56" i="4"/>
  <c r="P56" i="4"/>
  <c r="Q56" i="4"/>
  <c r="T56" i="4"/>
  <c r="K57" i="4"/>
  <c r="N57" i="4"/>
  <c r="O57" i="4"/>
  <c r="P57" i="4"/>
  <c r="Q57" i="4"/>
  <c r="T57" i="4"/>
  <c r="K58" i="4"/>
  <c r="N58" i="4"/>
  <c r="O58" i="4"/>
  <c r="P58" i="4"/>
  <c r="Q58" i="4"/>
  <c r="T58" i="4"/>
  <c r="K59" i="4"/>
  <c r="N59" i="4"/>
  <c r="O59" i="4"/>
  <c r="P59" i="4"/>
  <c r="Q59" i="4"/>
  <c r="T59" i="4"/>
  <c r="K60" i="4"/>
  <c r="N60" i="4"/>
  <c r="O60" i="4"/>
  <c r="P60" i="4"/>
  <c r="Q60" i="4"/>
  <c r="T60" i="4"/>
  <c r="K61" i="4"/>
  <c r="N61" i="4"/>
  <c r="O61" i="4"/>
  <c r="P61" i="4"/>
  <c r="Q61" i="4"/>
  <c r="T61" i="4"/>
  <c r="K62" i="4"/>
  <c r="N62" i="4"/>
  <c r="O62" i="4"/>
  <c r="P62" i="4"/>
  <c r="Q62" i="4"/>
  <c r="T62" i="4"/>
  <c r="K63" i="4"/>
  <c r="N63" i="4"/>
  <c r="O63" i="4"/>
  <c r="P63" i="4"/>
  <c r="Q63" i="4"/>
  <c r="T63" i="4"/>
  <c r="K64" i="4"/>
  <c r="N64" i="4"/>
  <c r="O64" i="4"/>
  <c r="P64" i="4"/>
  <c r="Q64" i="4"/>
  <c r="T64" i="4"/>
  <c r="K65" i="4"/>
  <c r="N65" i="4"/>
  <c r="O65" i="4"/>
  <c r="P65" i="4"/>
  <c r="Q65" i="4"/>
  <c r="T65" i="4"/>
  <c r="K66" i="4"/>
  <c r="N66" i="4"/>
  <c r="O66" i="4"/>
  <c r="P66" i="4"/>
  <c r="Q66" i="4"/>
  <c r="T66" i="4"/>
  <c r="K67" i="4"/>
  <c r="N67" i="4"/>
  <c r="O67" i="4"/>
  <c r="P67" i="4"/>
  <c r="Q67" i="4"/>
  <c r="T67" i="4"/>
  <c r="K68" i="4"/>
  <c r="N68" i="4"/>
  <c r="O68" i="4"/>
  <c r="P68" i="4"/>
  <c r="Q68" i="4"/>
  <c r="T68" i="4"/>
  <c r="K69" i="4"/>
  <c r="N69" i="4"/>
  <c r="O69" i="4"/>
  <c r="P69" i="4"/>
  <c r="Q69" i="4"/>
  <c r="T69" i="4"/>
  <c r="K70" i="4"/>
  <c r="N70" i="4"/>
  <c r="O70" i="4"/>
  <c r="P70" i="4"/>
  <c r="Q70" i="4"/>
  <c r="T70" i="4"/>
  <c r="K71" i="4"/>
  <c r="N71" i="4"/>
  <c r="O71" i="4"/>
  <c r="P71" i="4"/>
  <c r="Q71" i="4"/>
  <c r="T71" i="4"/>
  <c r="K72" i="4"/>
  <c r="N72" i="4"/>
  <c r="O72" i="4"/>
  <c r="P72" i="4"/>
  <c r="Q72" i="4"/>
  <c r="T72" i="4"/>
  <c r="K73" i="4"/>
  <c r="N73" i="4"/>
  <c r="O73" i="4"/>
  <c r="P73" i="4"/>
  <c r="Q73" i="4"/>
  <c r="T73" i="4"/>
  <c r="K74" i="4"/>
  <c r="N74" i="4"/>
  <c r="O74" i="4"/>
  <c r="P74" i="4"/>
  <c r="Q74" i="4"/>
  <c r="T74" i="4"/>
  <c r="K75" i="4"/>
  <c r="N75" i="4"/>
  <c r="O75" i="4"/>
  <c r="P75" i="4"/>
  <c r="Q75" i="4"/>
  <c r="T75" i="4"/>
  <c r="K76" i="4"/>
  <c r="N76" i="4"/>
  <c r="O76" i="4"/>
  <c r="P76" i="4"/>
  <c r="Q76" i="4"/>
  <c r="T76" i="4"/>
  <c r="K77" i="4"/>
  <c r="N77" i="4"/>
  <c r="O77" i="4"/>
  <c r="P77" i="4"/>
  <c r="Q77" i="4"/>
  <c r="T77" i="4"/>
  <c r="K78" i="4"/>
  <c r="N78" i="4"/>
  <c r="O78" i="4"/>
  <c r="P78" i="4"/>
  <c r="Q78" i="4"/>
  <c r="T78" i="4"/>
  <c r="K79" i="4"/>
  <c r="N79" i="4"/>
  <c r="O79" i="4"/>
  <c r="P79" i="4"/>
  <c r="Q79" i="4"/>
  <c r="T79" i="4"/>
  <c r="K80" i="4"/>
  <c r="N80" i="4"/>
  <c r="O80" i="4"/>
  <c r="P80" i="4"/>
  <c r="Q80" i="4"/>
  <c r="T80" i="4"/>
  <c r="K81" i="4"/>
  <c r="N81" i="4"/>
  <c r="O81" i="4"/>
  <c r="P81" i="4"/>
  <c r="Q81" i="4"/>
  <c r="T81" i="4"/>
  <c r="K82" i="4"/>
  <c r="N82" i="4"/>
  <c r="O82" i="4"/>
  <c r="P82" i="4"/>
  <c r="Q82" i="4"/>
  <c r="T82" i="4"/>
  <c r="F83" i="4"/>
  <c r="F87" i="4"/>
  <c r="G87" i="4"/>
  <c r="I87" i="4" s="1"/>
  <c r="J87" i="4"/>
  <c r="K88" i="4"/>
  <c r="N88" i="4"/>
  <c r="O88" i="4"/>
  <c r="P88" i="4"/>
  <c r="Q88" i="4"/>
  <c r="T88" i="4"/>
  <c r="K89" i="4"/>
  <c r="N89" i="4"/>
  <c r="O89" i="4"/>
  <c r="P89" i="4"/>
  <c r="Q89" i="4"/>
  <c r="T89" i="4"/>
  <c r="K90" i="4"/>
  <c r="N90" i="4"/>
  <c r="O90" i="4"/>
  <c r="P90" i="4"/>
  <c r="Q90" i="4"/>
  <c r="T90" i="4"/>
  <c r="K91" i="4"/>
  <c r="N91" i="4"/>
  <c r="O91" i="4"/>
  <c r="P91" i="4"/>
  <c r="Q91" i="4"/>
  <c r="T91" i="4"/>
  <c r="K92" i="4"/>
  <c r="N92" i="4"/>
  <c r="O92" i="4"/>
  <c r="P92" i="4"/>
  <c r="Q92" i="4"/>
  <c r="T92" i="4"/>
  <c r="K93" i="4"/>
  <c r="N93" i="4"/>
  <c r="O93" i="4"/>
  <c r="P93" i="4"/>
  <c r="Q93" i="4"/>
  <c r="T93" i="4"/>
  <c r="K94" i="4"/>
  <c r="N94" i="4"/>
  <c r="O94" i="4"/>
  <c r="P94" i="4"/>
  <c r="Q94" i="4"/>
  <c r="T94" i="4"/>
  <c r="K95" i="4"/>
  <c r="N95" i="4"/>
  <c r="O95" i="4"/>
  <c r="P95" i="4"/>
  <c r="Q95" i="4"/>
  <c r="T95" i="4"/>
  <c r="K96" i="4"/>
  <c r="N96" i="4"/>
  <c r="O96" i="4"/>
  <c r="P96" i="4"/>
  <c r="Q96" i="4"/>
  <c r="T96" i="4"/>
  <c r="K97" i="4"/>
  <c r="N97" i="4"/>
  <c r="O97" i="4"/>
  <c r="P97" i="4"/>
  <c r="Q97" i="4"/>
  <c r="T97" i="4"/>
  <c r="K98" i="4"/>
  <c r="N98" i="4"/>
  <c r="O98" i="4"/>
  <c r="P98" i="4"/>
  <c r="Q98" i="4"/>
  <c r="T98" i="4"/>
  <c r="K99" i="4"/>
  <c r="N99" i="4"/>
  <c r="O99" i="4"/>
  <c r="P99" i="4"/>
  <c r="Q99" i="4"/>
  <c r="T99" i="4"/>
  <c r="K100" i="4"/>
  <c r="N100" i="4"/>
  <c r="O100" i="4"/>
  <c r="P100" i="4"/>
  <c r="Q100" i="4"/>
  <c r="T100" i="4"/>
  <c r="K101" i="4"/>
  <c r="N101" i="4"/>
  <c r="O101" i="4"/>
  <c r="P101" i="4"/>
  <c r="Q101" i="4"/>
  <c r="T101" i="4"/>
  <c r="K102" i="4"/>
  <c r="N102" i="4"/>
  <c r="O102" i="4"/>
  <c r="P102" i="4"/>
  <c r="Q102" i="4"/>
  <c r="T102" i="4"/>
  <c r="K103" i="4"/>
  <c r="N103" i="4"/>
  <c r="O103" i="4"/>
  <c r="P103" i="4"/>
  <c r="Q103" i="4"/>
  <c r="T103" i="4"/>
  <c r="F108" i="4"/>
  <c r="F109" i="4" s="1"/>
  <c r="F110" i="4" s="1"/>
  <c r="F111" i="4" s="1"/>
  <c r="F112" i="4" s="1"/>
  <c r="F113" i="4" s="1"/>
  <c r="F114" i="4" s="1"/>
  <c r="F115" i="4" s="1"/>
  <c r="F116" i="4" s="1"/>
  <c r="F117" i="4" s="1"/>
  <c r="F118" i="4" s="1"/>
  <c r="F119" i="4" s="1"/>
  <c r="F120" i="4" s="1"/>
  <c r="F121" i="4" s="1"/>
  <c r="F122" i="4" s="1"/>
  <c r="F123" i="4" s="1"/>
  <c r="F124" i="4" s="1"/>
  <c r="G108" i="4"/>
  <c r="J108" i="4"/>
  <c r="K109" i="4"/>
  <c r="N109" i="4"/>
  <c r="O109" i="4"/>
  <c r="P109" i="4"/>
  <c r="Q109" i="4"/>
  <c r="T109" i="4"/>
  <c r="K110" i="4"/>
  <c r="N110" i="4"/>
  <c r="O110" i="4"/>
  <c r="P110" i="4"/>
  <c r="Q110" i="4"/>
  <c r="T110" i="4"/>
  <c r="K111" i="4"/>
  <c r="N111" i="4"/>
  <c r="O111" i="4"/>
  <c r="P111" i="4"/>
  <c r="Q111" i="4"/>
  <c r="T111" i="4"/>
  <c r="K112" i="4"/>
  <c r="N112" i="4"/>
  <c r="O112" i="4"/>
  <c r="P112" i="4"/>
  <c r="Q112" i="4"/>
  <c r="T112" i="4"/>
  <c r="K113" i="4"/>
  <c r="N113" i="4"/>
  <c r="O113" i="4"/>
  <c r="P113" i="4"/>
  <c r="Q113" i="4"/>
  <c r="T113" i="4"/>
  <c r="K114" i="4"/>
  <c r="N114" i="4"/>
  <c r="O114" i="4"/>
  <c r="P114" i="4"/>
  <c r="Q114" i="4"/>
  <c r="T114" i="4"/>
  <c r="K115" i="4"/>
  <c r="N115" i="4"/>
  <c r="O115" i="4"/>
  <c r="P115" i="4"/>
  <c r="Q115" i="4"/>
  <c r="T115" i="4"/>
  <c r="K116" i="4"/>
  <c r="N116" i="4"/>
  <c r="O116" i="4"/>
  <c r="P116" i="4"/>
  <c r="Q116" i="4"/>
  <c r="T116" i="4"/>
  <c r="K117" i="4"/>
  <c r="N117" i="4"/>
  <c r="O117" i="4"/>
  <c r="P117" i="4"/>
  <c r="Q117" i="4"/>
  <c r="T117" i="4"/>
  <c r="K118" i="4"/>
  <c r="N118" i="4"/>
  <c r="O118" i="4"/>
  <c r="P118" i="4"/>
  <c r="Q118" i="4"/>
  <c r="T118" i="4"/>
  <c r="K119" i="4"/>
  <c r="N119" i="4"/>
  <c r="O119" i="4"/>
  <c r="P119" i="4"/>
  <c r="Q119" i="4"/>
  <c r="T119" i="4"/>
  <c r="K120" i="4"/>
  <c r="N120" i="4"/>
  <c r="O120" i="4"/>
  <c r="P120" i="4"/>
  <c r="Q120" i="4"/>
  <c r="T120" i="4"/>
  <c r="K121" i="4"/>
  <c r="N121" i="4"/>
  <c r="O121" i="4"/>
  <c r="P121" i="4"/>
  <c r="Q121" i="4"/>
  <c r="T121" i="4"/>
  <c r="K122" i="4"/>
  <c r="N122" i="4"/>
  <c r="O122" i="4"/>
  <c r="P122" i="4"/>
  <c r="Q122" i="4"/>
  <c r="T122" i="4"/>
  <c r="K123" i="4"/>
  <c r="N123" i="4"/>
  <c r="O123" i="4"/>
  <c r="P123" i="4"/>
  <c r="Q123" i="4"/>
  <c r="T123" i="4"/>
  <c r="K124" i="4"/>
  <c r="N124" i="4"/>
  <c r="O124" i="4"/>
  <c r="P124" i="4"/>
  <c r="Q124" i="4"/>
  <c r="T124" i="4"/>
  <c r="G83" i="4" l="1"/>
  <c r="I108" i="4"/>
  <c r="I126" i="4" s="1"/>
  <c r="I8" i="4"/>
  <c r="T126" i="4"/>
  <c r="T39" i="4"/>
  <c r="I42" i="4"/>
  <c r="I84" i="4" s="1"/>
  <c r="T84" i="4"/>
  <c r="T105" i="4"/>
  <c r="G125" i="4"/>
  <c r="G109" i="4"/>
  <c r="G110" i="4" s="1"/>
  <c r="G111" i="4" s="1"/>
  <c r="G112" i="4" s="1"/>
  <c r="G113" i="4" s="1"/>
  <c r="G114" i="4" s="1"/>
  <c r="G115" i="4" s="1"/>
  <c r="G116" i="4" s="1"/>
  <c r="G117" i="4" s="1"/>
  <c r="G118" i="4" s="1"/>
  <c r="G119" i="4" s="1"/>
  <c r="G120" i="4" s="1"/>
  <c r="G121" i="4" s="1"/>
  <c r="G122" i="4" s="1"/>
  <c r="G123" i="4" s="1"/>
  <c r="G124" i="4" s="1"/>
  <c r="I105" i="4"/>
  <c r="F125" i="4"/>
  <c r="F88" i="4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F103" i="4" s="1"/>
  <c r="F104" i="4"/>
  <c r="G19" i="4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F19" i="4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/>
  <c r="T128" i="4"/>
  <c r="I39" i="4"/>
  <c r="G38" i="4" l="1"/>
  <c r="G88" i="4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/>
  <c r="N23" i="2" l="1"/>
  <c r="T52" i="3" l="1"/>
  <c r="Q52" i="3"/>
  <c r="P52" i="3"/>
  <c r="O52" i="3"/>
  <c r="N52" i="3"/>
  <c r="K52" i="3"/>
  <c r="T51" i="3"/>
  <c r="Q51" i="3"/>
  <c r="P51" i="3"/>
  <c r="O51" i="3"/>
  <c r="N51" i="3"/>
  <c r="K51" i="3"/>
  <c r="T50" i="3"/>
  <c r="Q50" i="3"/>
  <c r="P50" i="3"/>
  <c r="O50" i="3"/>
  <c r="N50" i="3"/>
  <c r="K50" i="3"/>
  <c r="J49" i="3"/>
  <c r="G49" i="3"/>
  <c r="F49" i="3"/>
  <c r="F53" i="3" s="1"/>
  <c r="T44" i="3"/>
  <c r="Q44" i="3"/>
  <c r="P44" i="3"/>
  <c r="O44" i="3"/>
  <c r="N44" i="3"/>
  <c r="K44" i="3"/>
  <c r="T43" i="3"/>
  <c r="Q43" i="3"/>
  <c r="P43" i="3"/>
  <c r="O43" i="3"/>
  <c r="N43" i="3"/>
  <c r="K43" i="3"/>
  <c r="T42" i="3"/>
  <c r="Q42" i="3"/>
  <c r="P42" i="3"/>
  <c r="O42" i="3"/>
  <c r="N42" i="3"/>
  <c r="K42" i="3"/>
  <c r="T41" i="3"/>
  <c r="Q41" i="3"/>
  <c r="P41" i="3"/>
  <c r="O41" i="3"/>
  <c r="N41" i="3"/>
  <c r="K41" i="3"/>
  <c r="T40" i="3"/>
  <c r="Q40" i="3"/>
  <c r="P40" i="3"/>
  <c r="O40" i="3"/>
  <c r="N40" i="3"/>
  <c r="K40" i="3"/>
  <c r="T39" i="3"/>
  <c r="Q39" i="3"/>
  <c r="P39" i="3"/>
  <c r="O39" i="3"/>
  <c r="N39" i="3"/>
  <c r="K39" i="3"/>
  <c r="T38" i="3"/>
  <c r="Q38" i="3"/>
  <c r="P38" i="3"/>
  <c r="O38" i="3"/>
  <c r="N38" i="3"/>
  <c r="K38" i="3"/>
  <c r="T37" i="3"/>
  <c r="Q37" i="3"/>
  <c r="P37" i="3"/>
  <c r="O37" i="3"/>
  <c r="N37" i="3"/>
  <c r="K37" i="3"/>
  <c r="T36" i="3"/>
  <c r="Q36" i="3"/>
  <c r="P36" i="3"/>
  <c r="O36" i="3"/>
  <c r="N36" i="3"/>
  <c r="K36" i="3"/>
  <c r="T35" i="3"/>
  <c r="Q35" i="3"/>
  <c r="P35" i="3"/>
  <c r="O35" i="3"/>
  <c r="N35" i="3"/>
  <c r="K35" i="3"/>
  <c r="T34" i="3"/>
  <c r="Q34" i="3"/>
  <c r="P34" i="3"/>
  <c r="O34" i="3"/>
  <c r="N34" i="3"/>
  <c r="K34" i="3"/>
  <c r="T33" i="3"/>
  <c r="Q33" i="3"/>
  <c r="P33" i="3"/>
  <c r="O33" i="3"/>
  <c r="N33" i="3"/>
  <c r="K33" i="3"/>
  <c r="T32" i="3"/>
  <c r="Q32" i="3"/>
  <c r="P32" i="3"/>
  <c r="O32" i="3"/>
  <c r="N32" i="3"/>
  <c r="K32" i="3"/>
  <c r="T31" i="3"/>
  <c r="Q31" i="3"/>
  <c r="P31" i="3"/>
  <c r="O31" i="3"/>
  <c r="N31" i="3"/>
  <c r="K31" i="3"/>
  <c r="T30" i="3"/>
  <c r="Q30" i="3"/>
  <c r="P30" i="3"/>
  <c r="O30" i="3"/>
  <c r="N30" i="3"/>
  <c r="K30" i="3"/>
  <c r="T29" i="3"/>
  <c r="Q29" i="3"/>
  <c r="P29" i="3"/>
  <c r="O29" i="3"/>
  <c r="N29" i="3"/>
  <c r="K29" i="3"/>
  <c r="T28" i="3"/>
  <c r="Q28" i="3"/>
  <c r="P28" i="3"/>
  <c r="O28" i="3"/>
  <c r="N28" i="3"/>
  <c r="K28" i="3"/>
  <c r="J27" i="3"/>
  <c r="G27" i="3"/>
  <c r="F27" i="3"/>
  <c r="F45" i="3" s="1"/>
  <c r="T22" i="3"/>
  <c r="Q22" i="3"/>
  <c r="P22" i="3"/>
  <c r="O22" i="3"/>
  <c r="N22" i="3"/>
  <c r="K22" i="3"/>
  <c r="T21" i="3"/>
  <c r="Q21" i="3"/>
  <c r="P21" i="3"/>
  <c r="O21" i="3"/>
  <c r="N21" i="3"/>
  <c r="K21" i="3"/>
  <c r="T20" i="3"/>
  <c r="Q20" i="3"/>
  <c r="P20" i="3"/>
  <c r="O20" i="3"/>
  <c r="N20" i="3"/>
  <c r="K20" i="3"/>
  <c r="T19" i="3"/>
  <c r="Q19" i="3"/>
  <c r="P19" i="3"/>
  <c r="O19" i="3"/>
  <c r="N19" i="3"/>
  <c r="K19" i="3"/>
  <c r="G23" i="3"/>
  <c r="J18" i="3"/>
  <c r="G18" i="3"/>
  <c r="I18" i="3" s="1"/>
  <c r="F18" i="3"/>
  <c r="T56" i="3"/>
  <c r="I12" i="3"/>
  <c r="I11" i="3"/>
  <c r="I10" i="3"/>
  <c r="C6" i="3"/>
  <c r="J10" i="3" s="1"/>
  <c r="C5" i="3"/>
  <c r="C4" i="3"/>
  <c r="C3" i="3"/>
  <c r="C2" i="3"/>
  <c r="C9" i="3" s="1"/>
  <c r="T24" i="3" l="1"/>
  <c r="I49" i="3"/>
  <c r="I54" i="3" s="1"/>
  <c r="I24" i="3"/>
  <c r="I8" i="3"/>
  <c r="F23" i="3"/>
  <c r="F19" i="3"/>
  <c r="F20" i="3" s="1"/>
  <c r="F21" i="3" s="1"/>
  <c r="F22" i="3" s="1"/>
  <c r="G19" i="3"/>
  <c r="G20" i="3" s="1"/>
  <c r="G21" i="3" s="1"/>
  <c r="G22" i="3" s="1"/>
  <c r="T46" i="3"/>
  <c r="G45" i="3"/>
  <c r="G28" i="3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F28" i="3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I27" i="3"/>
  <c r="I46" i="3" s="1"/>
  <c r="T54" i="3"/>
  <c r="F50" i="3"/>
  <c r="F51" i="3" s="1"/>
  <c r="F52" i="3" s="1"/>
  <c r="G53" i="3"/>
  <c r="G50" i="3"/>
  <c r="G51" i="3" s="1"/>
  <c r="G52" i="3" s="1"/>
  <c r="T262" i="2" l="1"/>
  <c r="Q262" i="2"/>
  <c r="P262" i="2"/>
  <c r="O262" i="2"/>
  <c r="N262" i="2"/>
  <c r="K262" i="2"/>
  <c r="T261" i="2"/>
  <c r="Q261" i="2"/>
  <c r="P261" i="2"/>
  <c r="O261" i="2"/>
  <c r="N261" i="2"/>
  <c r="K261" i="2"/>
  <c r="T260" i="2"/>
  <c r="Q260" i="2"/>
  <c r="P260" i="2"/>
  <c r="O260" i="2"/>
  <c r="N260" i="2"/>
  <c r="K260" i="2"/>
  <c r="T259" i="2"/>
  <c r="Q259" i="2"/>
  <c r="P259" i="2"/>
  <c r="O259" i="2"/>
  <c r="N259" i="2"/>
  <c r="K259" i="2"/>
  <c r="T258" i="2"/>
  <c r="Q258" i="2"/>
  <c r="P258" i="2"/>
  <c r="O258" i="2"/>
  <c r="N258" i="2"/>
  <c r="K258" i="2"/>
  <c r="T257" i="2"/>
  <c r="Q257" i="2"/>
  <c r="P257" i="2"/>
  <c r="O257" i="2"/>
  <c r="N257" i="2"/>
  <c r="K257" i="2"/>
  <c r="T256" i="2"/>
  <c r="Q256" i="2"/>
  <c r="P256" i="2"/>
  <c r="O256" i="2"/>
  <c r="N256" i="2"/>
  <c r="K256" i="2"/>
  <c r="T255" i="2"/>
  <c r="Q255" i="2"/>
  <c r="P255" i="2"/>
  <c r="O255" i="2"/>
  <c r="N255" i="2"/>
  <c r="K255" i="2"/>
  <c r="T254" i="2"/>
  <c r="Q254" i="2"/>
  <c r="P254" i="2"/>
  <c r="O254" i="2"/>
  <c r="N254" i="2"/>
  <c r="K254" i="2"/>
  <c r="T253" i="2"/>
  <c r="Q253" i="2"/>
  <c r="P253" i="2"/>
  <c r="O253" i="2"/>
  <c r="N253" i="2"/>
  <c r="K253" i="2"/>
  <c r="T252" i="2"/>
  <c r="Q252" i="2"/>
  <c r="P252" i="2"/>
  <c r="O252" i="2"/>
  <c r="N252" i="2"/>
  <c r="K252" i="2"/>
  <c r="T251" i="2"/>
  <c r="Q251" i="2"/>
  <c r="P251" i="2"/>
  <c r="O251" i="2"/>
  <c r="N251" i="2"/>
  <c r="K251" i="2"/>
  <c r="T250" i="2"/>
  <c r="Q250" i="2"/>
  <c r="P250" i="2"/>
  <c r="O250" i="2"/>
  <c r="N250" i="2"/>
  <c r="K250" i="2"/>
  <c r="T249" i="2"/>
  <c r="Q249" i="2"/>
  <c r="P249" i="2"/>
  <c r="O249" i="2"/>
  <c r="N249" i="2"/>
  <c r="K249" i="2"/>
  <c r="T248" i="2"/>
  <c r="Q248" i="2"/>
  <c r="P248" i="2"/>
  <c r="O248" i="2"/>
  <c r="N248" i="2"/>
  <c r="K248" i="2"/>
  <c r="T247" i="2"/>
  <c r="Q247" i="2"/>
  <c r="P247" i="2"/>
  <c r="O247" i="2"/>
  <c r="N247" i="2"/>
  <c r="K247" i="2"/>
  <c r="T246" i="2"/>
  <c r="Q246" i="2"/>
  <c r="P246" i="2"/>
  <c r="O246" i="2"/>
  <c r="N246" i="2"/>
  <c r="K246" i="2"/>
  <c r="T245" i="2"/>
  <c r="Q245" i="2"/>
  <c r="P245" i="2"/>
  <c r="O245" i="2"/>
  <c r="N245" i="2"/>
  <c r="K245" i="2"/>
  <c r="T244" i="2"/>
  <c r="Q244" i="2"/>
  <c r="P244" i="2"/>
  <c r="O244" i="2"/>
  <c r="N244" i="2"/>
  <c r="K244" i="2"/>
  <c r="T243" i="2"/>
  <c r="Q243" i="2"/>
  <c r="P243" i="2"/>
  <c r="O243" i="2"/>
  <c r="N243" i="2"/>
  <c r="K243" i="2"/>
  <c r="T242" i="2"/>
  <c r="Q242" i="2"/>
  <c r="P242" i="2"/>
  <c r="O242" i="2"/>
  <c r="N242" i="2"/>
  <c r="K242" i="2"/>
  <c r="T241" i="2"/>
  <c r="Q241" i="2"/>
  <c r="P241" i="2"/>
  <c r="O241" i="2"/>
  <c r="N241" i="2"/>
  <c r="K241" i="2"/>
  <c r="T240" i="2"/>
  <c r="Q240" i="2"/>
  <c r="P240" i="2"/>
  <c r="O240" i="2"/>
  <c r="N240" i="2"/>
  <c r="K240" i="2"/>
  <c r="T239" i="2"/>
  <c r="Q239" i="2"/>
  <c r="P239" i="2"/>
  <c r="O239" i="2"/>
  <c r="N239" i="2"/>
  <c r="K239" i="2"/>
  <c r="T238" i="2"/>
  <c r="Q238" i="2"/>
  <c r="P238" i="2"/>
  <c r="O238" i="2"/>
  <c r="N238" i="2"/>
  <c r="K238" i="2"/>
  <c r="T237" i="2"/>
  <c r="Q237" i="2"/>
  <c r="P237" i="2"/>
  <c r="O237" i="2"/>
  <c r="N237" i="2"/>
  <c r="K237" i="2"/>
  <c r="T236" i="2"/>
  <c r="Q236" i="2"/>
  <c r="P236" i="2"/>
  <c r="O236" i="2"/>
  <c r="N236" i="2"/>
  <c r="K236" i="2"/>
  <c r="T235" i="2"/>
  <c r="Q235" i="2"/>
  <c r="P235" i="2"/>
  <c r="O235" i="2"/>
  <c r="N235" i="2"/>
  <c r="K235" i="2"/>
  <c r="T234" i="2"/>
  <c r="Q234" i="2"/>
  <c r="P234" i="2"/>
  <c r="O234" i="2"/>
  <c r="N234" i="2"/>
  <c r="K234" i="2"/>
  <c r="T233" i="2"/>
  <c r="Q233" i="2"/>
  <c r="P233" i="2"/>
  <c r="O233" i="2"/>
  <c r="N233" i="2"/>
  <c r="K233" i="2"/>
  <c r="T232" i="2"/>
  <c r="Q232" i="2"/>
  <c r="P232" i="2"/>
  <c r="O232" i="2"/>
  <c r="N232" i="2"/>
  <c r="K232" i="2"/>
  <c r="T231" i="2"/>
  <c r="Q231" i="2"/>
  <c r="P231" i="2"/>
  <c r="O231" i="2"/>
  <c r="N231" i="2"/>
  <c r="K231" i="2"/>
  <c r="T230" i="2"/>
  <c r="Q230" i="2"/>
  <c r="P230" i="2"/>
  <c r="O230" i="2"/>
  <c r="N230" i="2"/>
  <c r="K230" i="2"/>
  <c r="T229" i="2"/>
  <c r="Q229" i="2"/>
  <c r="P229" i="2"/>
  <c r="O229" i="2"/>
  <c r="N229" i="2"/>
  <c r="K229" i="2"/>
  <c r="T228" i="2"/>
  <c r="Q228" i="2"/>
  <c r="P228" i="2"/>
  <c r="O228" i="2"/>
  <c r="N228" i="2"/>
  <c r="K228" i="2"/>
  <c r="T227" i="2"/>
  <c r="Q227" i="2"/>
  <c r="P227" i="2"/>
  <c r="O227" i="2"/>
  <c r="N227" i="2"/>
  <c r="K227" i="2"/>
  <c r="T226" i="2"/>
  <c r="Q226" i="2"/>
  <c r="P226" i="2"/>
  <c r="O226" i="2"/>
  <c r="N226" i="2"/>
  <c r="K226" i="2"/>
  <c r="T225" i="2"/>
  <c r="Q225" i="2"/>
  <c r="P225" i="2"/>
  <c r="O225" i="2"/>
  <c r="N225" i="2"/>
  <c r="K225" i="2"/>
  <c r="T224" i="2"/>
  <c r="Q224" i="2"/>
  <c r="P224" i="2"/>
  <c r="O224" i="2"/>
  <c r="N224" i="2"/>
  <c r="K224" i="2"/>
  <c r="T223" i="2"/>
  <c r="Q223" i="2"/>
  <c r="P223" i="2"/>
  <c r="O223" i="2"/>
  <c r="N223" i="2"/>
  <c r="K223" i="2"/>
  <c r="T222" i="2"/>
  <c r="Q222" i="2"/>
  <c r="P222" i="2"/>
  <c r="O222" i="2"/>
  <c r="N222" i="2"/>
  <c r="K222" i="2"/>
  <c r="T221" i="2"/>
  <c r="Q221" i="2"/>
  <c r="P221" i="2"/>
  <c r="O221" i="2"/>
  <c r="N221" i="2"/>
  <c r="K221" i="2"/>
  <c r="T220" i="2"/>
  <c r="Q220" i="2"/>
  <c r="P220" i="2"/>
  <c r="O220" i="2"/>
  <c r="N220" i="2"/>
  <c r="K220" i="2"/>
  <c r="T219" i="2"/>
  <c r="Q219" i="2"/>
  <c r="P219" i="2"/>
  <c r="O219" i="2"/>
  <c r="N219" i="2"/>
  <c r="K219" i="2"/>
  <c r="T218" i="2"/>
  <c r="Q218" i="2"/>
  <c r="P218" i="2"/>
  <c r="O218" i="2"/>
  <c r="N218" i="2"/>
  <c r="K218" i="2"/>
  <c r="T217" i="2"/>
  <c r="Q217" i="2"/>
  <c r="P217" i="2"/>
  <c r="O217" i="2"/>
  <c r="N217" i="2"/>
  <c r="K217" i="2"/>
  <c r="T216" i="2"/>
  <c r="Q216" i="2"/>
  <c r="P216" i="2"/>
  <c r="O216" i="2"/>
  <c r="N216" i="2"/>
  <c r="K216" i="2"/>
  <c r="T215" i="2"/>
  <c r="Q215" i="2"/>
  <c r="P215" i="2"/>
  <c r="O215" i="2"/>
  <c r="N215" i="2"/>
  <c r="K215" i="2"/>
  <c r="T214" i="2"/>
  <c r="Q214" i="2"/>
  <c r="P214" i="2"/>
  <c r="O214" i="2"/>
  <c r="N214" i="2"/>
  <c r="K214" i="2"/>
  <c r="T213" i="2"/>
  <c r="Q213" i="2"/>
  <c r="P213" i="2"/>
  <c r="O213" i="2"/>
  <c r="N213" i="2"/>
  <c r="K213" i="2"/>
  <c r="T212" i="2"/>
  <c r="Q212" i="2"/>
  <c r="P212" i="2"/>
  <c r="O212" i="2"/>
  <c r="N212" i="2"/>
  <c r="K212" i="2"/>
  <c r="T211" i="2"/>
  <c r="Q211" i="2"/>
  <c r="P211" i="2"/>
  <c r="O211" i="2"/>
  <c r="N211" i="2"/>
  <c r="K211" i="2"/>
  <c r="T210" i="2"/>
  <c r="Q210" i="2"/>
  <c r="P210" i="2"/>
  <c r="O210" i="2"/>
  <c r="N210" i="2"/>
  <c r="K210" i="2"/>
  <c r="T209" i="2"/>
  <c r="Q209" i="2"/>
  <c r="P209" i="2"/>
  <c r="O209" i="2"/>
  <c r="N209" i="2"/>
  <c r="K209" i="2"/>
  <c r="T208" i="2"/>
  <c r="Q208" i="2"/>
  <c r="P208" i="2"/>
  <c r="O208" i="2"/>
  <c r="N208" i="2"/>
  <c r="K208" i="2"/>
  <c r="T207" i="2"/>
  <c r="Q207" i="2"/>
  <c r="P207" i="2"/>
  <c r="O207" i="2"/>
  <c r="N207" i="2"/>
  <c r="K207" i="2"/>
  <c r="T206" i="2"/>
  <c r="Q206" i="2"/>
  <c r="P206" i="2"/>
  <c r="O206" i="2"/>
  <c r="N206" i="2"/>
  <c r="K206" i="2"/>
  <c r="T205" i="2"/>
  <c r="Q205" i="2"/>
  <c r="P205" i="2"/>
  <c r="O205" i="2"/>
  <c r="N205" i="2"/>
  <c r="K205" i="2"/>
  <c r="T204" i="2"/>
  <c r="Q204" i="2"/>
  <c r="P204" i="2"/>
  <c r="O204" i="2"/>
  <c r="N204" i="2"/>
  <c r="K204" i="2"/>
  <c r="T203" i="2"/>
  <c r="Q203" i="2"/>
  <c r="P203" i="2"/>
  <c r="O203" i="2"/>
  <c r="N203" i="2"/>
  <c r="K203" i="2"/>
  <c r="T202" i="2"/>
  <c r="Q202" i="2"/>
  <c r="P202" i="2"/>
  <c r="O202" i="2"/>
  <c r="N202" i="2"/>
  <c r="K202" i="2"/>
  <c r="J201" i="2"/>
  <c r="G201" i="2"/>
  <c r="F201" i="2"/>
  <c r="T196" i="2"/>
  <c r="Q196" i="2"/>
  <c r="P196" i="2"/>
  <c r="O196" i="2"/>
  <c r="N196" i="2"/>
  <c r="K196" i="2"/>
  <c r="T195" i="2"/>
  <c r="Q195" i="2"/>
  <c r="P195" i="2"/>
  <c r="O195" i="2"/>
  <c r="N195" i="2"/>
  <c r="K195" i="2"/>
  <c r="T194" i="2"/>
  <c r="Q194" i="2"/>
  <c r="P194" i="2"/>
  <c r="O194" i="2"/>
  <c r="N194" i="2"/>
  <c r="K194" i="2"/>
  <c r="T193" i="2"/>
  <c r="Q193" i="2"/>
  <c r="P193" i="2"/>
  <c r="O193" i="2"/>
  <c r="N193" i="2"/>
  <c r="K193" i="2"/>
  <c r="T192" i="2"/>
  <c r="Q192" i="2"/>
  <c r="P192" i="2"/>
  <c r="O192" i="2"/>
  <c r="N192" i="2"/>
  <c r="K192" i="2"/>
  <c r="T191" i="2"/>
  <c r="Q191" i="2"/>
  <c r="P191" i="2"/>
  <c r="O191" i="2"/>
  <c r="N191" i="2"/>
  <c r="K191" i="2"/>
  <c r="T190" i="2"/>
  <c r="Q190" i="2"/>
  <c r="P190" i="2"/>
  <c r="O190" i="2"/>
  <c r="N190" i="2"/>
  <c r="K190" i="2"/>
  <c r="T189" i="2"/>
  <c r="Q189" i="2"/>
  <c r="P189" i="2"/>
  <c r="O189" i="2"/>
  <c r="N189" i="2"/>
  <c r="K189" i="2"/>
  <c r="T188" i="2"/>
  <c r="Q188" i="2"/>
  <c r="P188" i="2"/>
  <c r="O188" i="2"/>
  <c r="N188" i="2"/>
  <c r="K188" i="2"/>
  <c r="T187" i="2"/>
  <c r="Q187" i="2"/>
  <c r="P187" i="2"/>
  <c r="O187" i="2"/>
  <c r="N187" i="2"/>
  <c r="K187" i="2"/>
  <c r="T186" i="2"/>
  <c r="Q186" i="2"/>
  <c r="P186" i="2"/>
  <c r="O186" i="2"/>
  <c r="N186" i="2"/>
  <c r="K186" i="2"/>
  <c r="T185" i="2"/>
  <c r="Q185" i="2"/>
  <c r="P185" i="2"/>
  <c r="O185" i="2"/>
  <c r="N185" i="2"/>
  <c r="K185" i="2"/>
  <c r="T184" i="2"/>
  <c r="Q184" i="2"/>
  <c r="P184" i="2"/>
  <c r="O184" i="2"/>
  <c r="N184" i="2"/>
  <c r="K184" i="2"/>
  <c r="T183" i="2"/>
  <c r="Q183" i="2"/>
  <c r="P183" i="2"/>
  <c r="O183" i="2"/>
  <c r="N183" i="2"/>
  <c r="K183" i="2"/>
  <c r="T182" i="2"/>
  <c r="Q182" i="2"/>
  <c r="P182" i="2"/>
  <c r="O182" i="2"/>
  <c r="N182" i="2"/>
  <c r="K182" i="2"/>
  <c r="T181" i="2"/>
  <c r="Q181" i="2"/>
  <c r="P181" i="2"/>
  <c r="O181" i="2"/>
  <c r="N181" i="2"/>
  <c r="K181" i="2"/>
  <c r="T180" i="2"/>
  <c r="Q180" i="2"/>
  <c r="P180" i="2"/>
  <c r="O180" i="2"/>
  <c r="N180" i="2"/>
  <c r="K180" i="2"/>
  <c r="T179" i="2"/>
  <c r="Q179" i="2"/>
  <c r="P179" i="2"/>
  <c r="O179" i="2"/>
  <c r="N179" i="2"/>
  <c r="K179" i="2"/>
  <c r="T178" i="2"/>
  <c r="Q178" i="2"/>
  <c r="P178" i="2"/>
  <c r="O178" i="2"/>
  <c r="N178" i="2"/>
  <c r="K178" i="2"/>
  <c r="T177" i="2"/>
  <c r="Q177" i="2"/>
  <c r="P177" i="2"/>
  <c r="O177" i="2"/>
  <c r="N177" i="2"/>
  <c r="K177" i="2"/>
  <c r="T176" i="2"/>
  <c r="Q176" i="2"/>
  <c r="P176" i="2"/>
  <c r="O176" i="2"/>
  <c r="N176" i="2"/>
  <c r="K176" i="2"/>
  <c r="T175" i="2"/>
  <c r="Q175" i="2"/>
  <c r="P175" i="2"/>
  <c r="O175" i="2"/>
  <c r="N175" i="2"/>
  <c r="K175" i="2"/>
  <c r="T174" i="2"/>
  <c r="Q174" i="2"/>
  <c r="P174" i="2"/>
  <c r="O174" i="2"/>
  <c r="N174" i="2"/>
  <c r="K174" i="2"/>
  <c r="T173" i="2"/>
  <c r="Q173" i="2"/>
  <c r="P173" i="2"/>
  <c r="O173" i="2"/>
  <c r="N173" i="2"/>
  <c r="K173" i="2"/>
  <c r="T172" i="2"/>
  <c r="Q172" i="2"/>
  <c r="P172" i="2"/>
  <c r="O172" i="2"/>
  <c r="N172" i="2"/>
  <c r="K172" i="2"/>
  <c r="T171" i="2"/>
  <c r="Q171" i="2"/>
  <c r="P171" i="2"/>
  <c r="O171" i="2"/>
  <c r="N171" i="2"/>
  <c r="K171" i="2"/>
  <c r="T170" i="2"/>
  <c r="Q170" i="2"/>
  <c r="P170" i="2"/>
  <c r="O170" i="2"/>
  <c r="N170" i="2"/>
  <c r="K170" i="2"/>
  <c r="T169" i="2"/>
  <c r="Q169" i="2"/>
  <c r="P169" i="2"/>
  <c r="O169" i="2"/>
  <c r="N169" i="2"/>
  <c r="K169" i="2"/>
  <c r="J168" i="2"/>
  <c r="G168" i="2"/>
  <c r="I168" i="2" s="1"/>
  <c r="F168" i="2"/>
  <c r="T163" i="2"/>
  <c r="Q163" i="2"/>
  <c r="P163" i="2"/>
  <c r="O163" i="2"/>
  <c r="N163" i="2"/>
  <c r="K163" i="2"/>
  <c r="T162" i="2"/>
  <c r="Q162" i="2"/>
  <c r="P162" i="2"/>
  <c r="O162" i="2"/>
  <c r="N162" i="2"/>
  <c r="K162" i="2"/>
  <c r="T161" i="2"/>
  <c r="Q161" i="2"/>
  <c r="P161" i="2"/>
  <c r="O161" i="2"/>
  <c r="N161" i="2"/>
  <c r="K161" i="2"/>
  <c r="T160" i="2"/>
  <c r="Q160" i="2"/>
  <c r="P160" i="2"/>
  <c r="O160" i="2"/>
  <c r="N160" i="2"/>
  <c r="K160" i="2"/>
  <c r="T159" i="2"/>
  <c r="Q159" i="2"/>
  <c r="P159" i="2"/>
  <c r="O159" i="2"/>
  <c r="N159" i="2"/>
  <c r="K159" i="2"/>
  <c r="T158" i="2"/>
  <c r="Q158" i="2"/>
  <c r="P158" i="2"/>
  <c r="O158" i="2"/>
  <c r="N158" i="2"/>
  <c r="K158" i="2"/>
  <c r="T157" i="2"/>
  <c r="Q157" i="2"/>
  <c r="P157" i="2"/>
  <c r="O157" i="2"/>
  <c r="N157" i="2"/>
  <c r="K157" i="2"/>
  <c r="T156" i="2"/>
  <c r="Q156" i="2"/>
  <c r="P156" i="2"/>
  <c r="O156" i="2"/>
  <c r="N156" i="2"/>
  <c r="K156" i="2"/>
  <c r="T155" i="2"/>
  <c r="Q155" i="2"/>
  <c r="P155" i="2"/>
  <c r="O155" i="2"/>
  <c r="N155" i="2"/>
  <c r="K155" i="2"/>
  <c r="T154" i="2"/>
  <c r="Q154" i="2"/>
  <c r="P154" i="2"/>
  <c r="O154" i="2"/>
  <c r="N154" i="2"/>
  <c r="K154" i="2"/>
  <c r="T153" i="2"/>
  <c r="Q153" i="2"/>
  <c r="P153" i="2"/>
  <c r="O153" i="2"/>
  <c r="N153" i="2"/>
  <c r="K153" i="2"/>
  <c r="T152" i="2"/>
  <c r="Q152" i="2"/>
  <c r="P152" i="2"/>
  <c r="O152" i="2"/>
  <c r="N152" i="2"/>
  <c r="K152" i="2"/>
  <c r="T151" i="2"/>
  <c r="Q151" i="2"/>
  <c r="P151" i="2"/>
  <c r="O151" i="2"/>
  <c r="N151" i="2"/>
  <c r="K151" i="2"/>
  <c r="T150" i="2"/>
  <c r="Q150" i="2"/>
  <c r="P150" i="2"/>
  <c r="O150" i="2"/>
  <c r="N150" i="2"/>
  <c r="K150" i="2"/>
  <c r="T149" i="2"/>
  <c r="Q149" i="2"/>
  <c r="P149" i="2"/>
  <c r="O149" i="2"/>
  <c r="N149" i="2"/>
  <c r="K149" i="2"/>
  <c r="T148" i="2"/>
  <c r="Q148" i="2"/>
  <c r="P148" i="2"/>
  <c r="O148" i="2"/>
  <c r="N148" i="2"/>
  <c r="K148" i="2"/>
  <c r="T147" i="2"/>
  <c r="Q147" i="2"/>
  <c r="P147" i="2"/>
  <c r="O147" i="2"/>
  <c r="N147" i="2"/>
  <c r="K147" i="2"/>
  <c r="T146" i="2"/>
  <c r="Q146" i="2"/>
  <c r="P146" i="2"/>
  <c r="O146" i="2"/>
  <c r="N146" i="2"/>
  <c r="K146" i="2"/>
  <c r="T145" i="2"/>
  <c r="Q145" i="2"/>
  <c r="P145" i="2"/>
  <c r="O145" i="2"/>
  <c r="N145" i="2"/>
  <c r="K145" i="2"/>
  <c r="T144" i="2"/>
  <c r="Q144" i="2"/>
  <c r="P144" i="2"/>
  <c r="O144" i="2"/>
  <c r="N144" i="2"/>
  <c r="K144" i="2"/>
  <c r="T143" i="2"/>
  <c r="Q143" i="2"/>
  <c r="P143" i="2"/>
  <c r="O143" i="2"/>
  <c r="N143" i="2"/>
  <c r="K143" i="2"/>
  <c r="T142" i="2"/>
  <c r="Q142" i="2"/>
  <c r="P142" i="2"/>
  <c r="O142" i="2"/>
  <c r="N142" i="2"/>
  <c r="K142" i="2"/>
  <c r="T141" i="2"/>
  <c r="Q141" i="2"/>
  <c r="P141" i="2"/>
  <c r="O141" i="2"/>
  <c r="N141" i="2"/>
  <c r="K141" i="2"/>
  <c r="T140" i="2"/>
  <c r="Q140" i="2"/>
  <c r="P140" i="2"/>
  <c r="O140" i="2"/>
  <c r="N140" i="2"/>
  <c r="K140" i="2"/>
  <c r="T139" i="2"/>
  <c r="Q139" i="2"/>
  <c r="P139" i="2"/>
  <c r="O139" i="2"/>
  <c r="N139" i="2"/>
  <c r="K139" i="2"/>
  <c r="T138" i="2"/>
  <c r="Q138" i="2"/>
  <c r="P138" i="2"/>
  <c r="O138" i="2"/>
  <c r="N138" i="2"/>
  <c r="K138" i="2"/>
  <c r="T137" i="2"/>
  <c r="Q137" i="2"/>
  <c r="P137" i="2"/>
  <c r="O137" i="2"/>
  <c r="N137" i="2"/>
  <c r="K137" i="2"/>
  <c r="T136" i="2"/>
  <c r="Q136" i="2"/>
  <c r="P136" i="2"/>
  <c r="O136" i="2"/>
  <c r="N136" i="2"/>
  <c r="K136" i="2"/>
  <c r="T135" i="2"/>
  <c r="Q135" i="2"/>
  <c r="P135" i="2"/>
  <c r="O135" i="2"/>
  <c r="N135" i="2"/>
  <c r="K135" i="2"/>
  <c r="T134" i="2"/>
  <c r="Q134" i="2"/>
  <c r="P134" i="2"/>
  <c r="O134" i="2"/>
  <c r="N134" i="2"/>
  <c r="K134" i="2"/>
  <c r="T133" i="2"/>
  <c r="Q133" i="2"/>
  <c r="P133" i="2"/>
  <c r="O133" i="2"/>
  <c r="N133" i="2"/>
  <c r="K133" i="2"/>
  <c r="T132" i="2"/>
  <c r="Q132" i="2"/>
  <c r="P132" i="2"/>
  <c r="O132" i="2"/>
  <c r="N132" i="2"/>
  <c r="K132" i="2"/>
  <c r="T131" i="2"/>
  <c r="Q131" i="2"/>
  <c r="P131" i="2"/>
  <c r="O131" i="2"/>
  <c r="N131" i="2"/>
  <c r="K131" i="2"/>
  <c r="T130" i="2"/>
  <c r="Q130" i="2"/>
  <c r="P130" i="2"/>
  <c r="O130" i="2"/>
  <c r="N130" i="2"/>
  <c r="K130" i="2"/>
  <c r="T129" i="2"/>
  <c r="Q129" i="2"/>
  <c r="P129" i="2"/>
  <c r="O129" i="2"/>
  <c r="N129" i="2"/>
  <c r="K129" i="2"/>
  <c r="T128" i="2"/>
  <c r="Q128" i="2"/>
  <c r="P128" i="2"/>
  <c r="O128" i="2"/>
  <c r="N128" i="2"/>
  <c r="K128" i="2"/>
  <c r="T127" i="2"/>
  <c r="Q127" i="2"/>
  <c r="P127" i="2"/>
  <c r="O127" i="2"/>
  <c r="N127" i="2"/>
  <c r="K127" i="2"/>
  <c r="T126" i="2"/>
  <c r="Q126" i="2"/>
  <c r="P126" i="2"/>
  <c r="O126" i="2"/>
  <c r="N126" i="2"/>
  <c r="K126" i="2"/>
  <c r="T125" i="2"/>
  <c r="Q125" i="2"/>
  <c r="P125" i="2"/>
  <c r="O125" i="2"/>
  <c r="N125" i="2"/>
  <c r="K125" i="2"/>
  <c r="T124" i="2"/>
  <c r="Q124" i="2"/>
  <c r="P124" i="2"/>
  <c r="O124" i="2"/>
  <c r="N124" i="2"/>
  <c r="K124" i="2"/>
  <c r="T123" i="2"/>
  <c r="Q123" i="2"/>
  <c r="P123" i="2"/>
  <c r="O123" i="2"/>
  <c r="N123" i="2"/>
  <c r="K123" i="2"/>
  <c r="T122" i="2"/>
  <c r="Q122" i="2"/>
  <c r="P122" i="2"/>
  <c r="O122" i="2"/>
  <c r="N122" i="2"/>
  <c r="K122" i="2"/>
  <c r="T121" i="2"/>
  <c r="Q121" i="2"/>
  <c r="P121" i="2"/>
  <c r="O121" i="2"/>
  <c r="N121" i="2"/>
  <c r="K121" i="2"/>
  <c r="T120" i="2"/>
  <c r="Q120" i="2"/>
  <c r="P120" i="2"/>
  <c r="O120" i="2"/>
  <c r="N120" i="2"/>
  <c r="K120" i="2"/>
  <c r="T119" i="2"/>
  <c r="Q119" i="2"/>
  <c r="P119" i="2"/>
  <c r="O119" i="2"/>
  <c r="N119" i="2"/>
  <c r="K119" i="2"/>
  <c r="T118" i="2"/>
  <c r="Q118" i="2"/>
  <c r="P118" i="2"/>
  <c r="O118" i="2"/>
  <c r="N118" i="2"/>
  <c r="K118" i="2"/>
  <c r="T117" i="2"/>
  <c r="Q117" i="2"/>
  <c r="P117" i="2"/>
  <c r="O117" i="2"/>
  <c r="N117" i="2"/>
  <c r="K117" i="2"/>
  <c r="T116" i="2"/>
  <c r="Q116" i="2"/>
  <c r="P116" i="2"/>
  <c r="O116" i="2"/>
  <c r="N116" i="2"/>
  <c r="K116" i="2"/>
  <c r="T115" i="2"/>
  <c r="Q115" i="2"/>
  <c r="P115" i="2"/>
  <c r="O115" i="2"/>
  <c r="N115" i="2"/>
  <c r="K115" i="2"/>
  <c r="T114" i="2"/>
  <c r="Q114" i="2"/>
  <c r="P114" i="2"/>
  <c r="O114" i="2"/>
  <c r="N114" i="2"/>
  <c r="K114" i="2"/>
  <c r="T113" i="2"/>
  <c r="Q113" i="2"/>
  <c r="P113" i="2"/>
  <c r="O113" i="2"/>
  <c r="N113" i="2"/>
  <c r="K113" i="2"/>
  <c r="T112" i="2"/>
  <c r="Q112" i="2"/>
  <c r="P112" i="2"/>
  <c r="O112" i="2"/>
  <c r="N112" i="2"/>
  <c r="K112" i="2"/>
  <c r="T111" i="2"/>
  <c r="Q111" i="2"/>
  <c r="P111" i="2"/>
  <c r="O111" i="2"/>
  <c r="N111" i="2"/>
  <c r="K111" i="2"/>
  <c r="T110" i="2"/>
  <c r="Q110" i="2"/>
  <c r="P110" i="2"/>
  <c r="O110" i="2"/>
  <c r="N110" i="2"/>
  <c r="K110" i="2"/>
  <c r="T109" i="2"/>
  <c r="Q109" i="2"/>
  <c r="P109" i="2"/>
  <c r="O109" i="2"/>
  <c r="N109" i="2"/>
  <c r="K109" i="2"/>
  <c r="T108" i="2"/>
  <c r="Q108" i="2"/>
  <c r="P108" i="2"/>
  <c r="O108" i="2"/>
  <c r="N108" i="2"/>
  <c r="K108" i="2"/>
  <c r="T107" i="2"/>
  <c r="Q107" i="2"/>
  <c r="P107" i="2"/>
  <c r="O107" i="2"/>
  <c r="N107" i="2"/>
  <c r="K107" i="2"/>
  <c r="T106" i="2"/>
  <c r="Q106" i="2"/>
  <c r="P106" i="2"/>
  <c r="O106" i="2"/>
  <c r="N106" i="2"/>
  <c r="K106" i="2"/>
  <c r="T105" i="2"/>
  <c r="Q105" i="2"/>
  <c r="P105" i="2"/>
  <c r="O105" i="2"/>
  <c r="N105" i="2"/>
  <c r="K105" i="2"/>
  <c r="T104" i="2"/>
  <c r="Q104" i="2"/>
  <c r="P104" i="2"/>
  <c r="O104" i="2"/>
  <c r="N104" i="2"/>
  <c r="K104" i="2"/>
  <c r="T103" i="2"/>
  <c r="Q103" i="2"/>
  <c r="P103" i="2"/>
  <c r="O103" i="2"/>
  <c r="N103" i="2"/>
  <c r="K103" i="2"/>
  <c r="T102" i="2"/>
  <c r="Q102" i="2"/>
  <c r="P102" i="2"/>
  <c r="O102" i="2"/>
  <c r="N102" i="2"/>
  <c r="K102" i="2"/>
  <c r="T101" i="2"/>
  <c r="Q101" i="2"/>
  <c r="P101" i="2"/>
  <c r="O101" i="2"/>
  <c r="N101" i="2"/>
  <c r="K101" i="2"/>
  <c r="T100" i="2"/>
  <c r="Q100" i="2"/>
  <c r="P100" i="2"/>
  <c r="O100" i="2"/>
  <c r="N100" i="2"/>
  <c r="K100" i="2"/>
  <c r="T99" i="2"/>
  <c r="Q99" i="2"/>
  <c r="P99" i="2"/>
  <c r="O99" i="2"/>
  <c r="N99" i="2"/>
  <c r="K99" i="2"/>
  <c r="T98" i="2"/>
  <c r="Q98" i="2"/>
  <c r="P98" i="2"/>
  <c r="O98" i="2"/>
  <c r="N98" i="2"/>
  <c r="K98" i="2"/>
  <c r="T97" i="2"/>
  <c r="Q97" i="2"/>
  <c r="P97" i="2"/>
  <c r="O97" i="2"/>
  <c r="N97" i="2"/>
  <c r="K97" i="2"/>
  <c r="T96" i="2"/>
  <c r="Q96" i="2"/>
  <c r="P96" i="2"/>
  <c r="O96" i="2"/>
  <c r="N96" i="2"/>
  <c r="K96" i="2"/>
  <c r="T95" i="2"/>
  <c r="Q95" i="2"/>
  <c r="P95" i="2"/>
  <c r="O95" i="2"/>
  <c r="N95" i="2"/>
  <c r="K95" i="2"/>
  <c r="T94" i="2"/>
  <c r="Q94" i="2"/>
  <c r="P94" i="2"/>
  <c r="O94" i="2"/>
  <c r="N94" i="2"/>
  <c r="K94" i="2"/>
  <c r="T93" i="2"/>
  <c r="Q93" i="2"/>
  <c r="P93" i="2"/>
  <c r="O93" i="2"/>
  <c r="N93" i="2"/>
  <c r="K93" i="2"/>
  <c r="T92" i="2"/>
  <c r="Q92" i="2"/>
  <c r="P92" i="2"/>
  <c r="O92" i="2"/>
  <c r="N92" i="2"/>
  <c r="K92" i="2"/>
  <c r="T91" i="2"/>
  <c r="Q91" i="2"/>
  <c r="P91" i="2"/>
  <c r="O91" i="2"/>
  <c r="N91" i="2"/>
  <c r="K91" i="2"/>
  <c r="T90" i="2"/>
  <c r="Q90" i="2"/>
  <c r="P90" i="2"/>
  <c r="O90" i="2"/>
  <c r="N90" i="2"/>
  <c r="K90" i="2"/>
  <c r="T89" i="2"/>
  <c r="Q89" i="2"/>
  <c r="P89" i="2"/>
  <c r="O89" i="2"/>
  <c r="N89" i="2"/>
  <c r="K89" i="2"/>
  <c r="T88" i="2"/>
  <c r="Q88" i="2"/>
  <c r="P88" i="2"/>
  <c r="O88" i="2"/>
  <c r="N88" i="2"/>
  <c r="K88" i="2"/>
  <c r="T87" i="2"/>
  <c r="Q87" i="2"/>
  <c r="P87" i="2"/>
  <c r="O87" i="2"/>
  <c r="N87" i="2"/>
  <c r="K87" i="2"/>
  <c r="T86" i="2"/>
  <c r="Q86" i="2"/>
  <c r="P86" i="2"/>
  <c r="O86" i="2"/>
  <c r="N86" i="2"/>
  <c r="K86" i="2"/>
  <c r="T85" i="2"/>
  <c r="Q85" i="2"/>
  <c r="P85" i="2"/>
  <c r="O85" i="2"/>
  <c r="N85" i="2"/>
  <c r="K85" i="2"/>
  <c r="T84" i="2"/>
  <c r="Q84" i="2"/>
  <c r="P84" i="2"/>
  <c r="O84" i="2"/>
  <c r="N84" i="2"/>
  <c r="K84" i="2"/>
  <c r="T83" i="2"/>
  <c r="Q83" i="2"/>
  <c r="P83" i="2"/>
  <c r="O83" i="2"/>
  <c r="N83" i="2"/>
  <c r="K83" i="2"/>
  <c r="T82" i="2"/>
  <c r="Q82" i="2"/>
  <c r="P82" i="2"/>
  <c r="O82" i="2"/>
  <c r="N82" i="2"/>
  <c r="K82" i="2"/>
  <c r="T81" i="2"/>
  <c r="Q81" i="2"/>
  <c r="P81" i="2"/>
  <c r="O81" i="2"/>
  <c r="N81" i="2"/>
  <c r="K81" i="2"/>
  <c r="T80" i="2"/>
  <c r="Q80" i="2"/>
  <c r="P80" i="2"/>
  <c r="O80" i="2"/>
  <c r="N80" i="2"/>
  <c r="K80" i="2"/>
  <c r="T79" i="2"/>
  <c r="Q79" i="2"/>
  <c r="P79" i="2"/>
  <c r="O79" i="2"/>
  <c r="N79" i="2"/>
  <c r="K79" i="2"/>
  <c r="T78" i="2"/>
  <c r="Q78" i="2"/>
  <c r="P78" i="2"/>
  <c r="O78" i="2"/>
  <c r="N78" i="2"/>
  <c r="K78" i="2"/>
  <c r="T77" i="2"/>
  <c r="Q77" i="2"/>
  <c r="P77" i="2"/>
  <c r="O77" i="2"/>
  <c r="N77" i="2"/>
  <c r="K77" i="2"/>
  <c r="T76" i="2"/>
  <c r="Q76" i="2"/>
  <c r="P76" i="2"/>
  <c r="O76" i="2"/>
  <c r="N76" i="2"/>
  <c r="K76" i="2"/>
  <c r="T75" i="2"/>
  <c r="Q75" i="2"/>
  <c r="P75" i="2"/>
  <c r="O75" i="2"/>
  <c r="N75" i="2"/>
  <c r="K75" i="2"/>
  <c r="T74" i="2"/>
  <c r="Q74" i="2"/>
  <c r="P74" i="2"/>
  <c r="O74" i="2"/>
  <c r="N74" i="2"/>
  <c r="K74" i="2"/>
  <c r="T73" i="2"/>
  <c r="Q73" i="2"/>
  <c r="P73" i="2"/>
  <c r="O73" i="2"/>
  <c r="N73" i="2"/>
  <c r="K73" i="2"/>
  <c r="T72" i="2"/>
  <c r="Q72" i="2"/>
  <c r="P72" i="2"/>
  <c r="O72" i="2"/>
  <c r="N72" i="2"/>
  <c r="K72" i="2"/>
  <c r="T71" i="2"/>
  <c r="Q71" i="2"/>
  <c r="P71" i="2"/>
  <c r="O71" i="2"/>
  <c r="N71" i="2"/>
  <c r="K71" i="2"/>
  <c r="T70" i="2"/>
  <c r="Q70" i="2"/>
  <c r="P70" i="2"/>
  <c r="O70" i="2"/>
  <c r="N70" i="2"/>
  <c r="K70" i="2"/>
  <c r="T69" i="2"/>
  <c r="Q69" i="2"/>
  <c r="P69" i="2"/>
  <c r="O69" i="2"/>
  <c r="N69" i="2"/>
  <c r="K69" i="2"/>
  <c r="T68" i="2"/>
  <c r="Q68" i="2"/>
  <c r="P68" i="2"/>
  <c r="O68" i="2"/>
  <c r="N68" i="2"/>
  <c r="K68" i="2"/>
  <c r="T67" i="2"/>
  <c r="Q67" i="2"/>
  <c r="P67" i="2"/>
  <c r="O67" i="2"/>
  <c r="N67" i="2"/>
  <c r="K67" i="2"/>
  <c r="T66" i="2"/>
  <c r="Q66" i="2"/>
  <c r="P66" i="2"/>
  <c r="O66" i="2"/>
  <c r="N66" i="2"/>
  <c r="K66" i="2"/>
  <c r="J65" i="2"/>
  <c r="G65" i="2"/>
  <c r="I65" i="2" s="1"/>
  <c r="F65" i="2"/>
  <c r="T60" i="2"/>
  <c r="Q60" i="2"/>
  <c r="P60" i="2"/>
  <c r="O60" i="2"/>
  <c r="N60" i="2"/>
  <c r="K60" i="2"/>
  <c r="T59" i="2"/>
  <c r="Q59" i="2"/>
  <c r="P59" i="2"/>
  <c r="O59" i="2"/>
  <c r="N59" i="2"/>
  <c r="K59" i="2"/>
  <c r="T58" i="2"/>
  <c r="Q58" i="2"/>
  <c r="P58" i="2"/>
  <c r="O58" i="2"/>
  <c r="N58" i="2"/>
  <c r="K58" i="2"/>
  <c r="T57" i="2"/>
  <c r="Q57" i="2"/>
  <c r="P57" i="2"/>
  <c r="O57" i="2"/>
  <c r="N57" i="2"/>
  <c r="K57" i="2"/>
  <c r="T56" i="2"/>
  <c r="Q56" i="2"/>
  <c r="P56" i="2"/>
  <c r="O56" i="2"/>
  <c r="N56" i="2"/>
  <c r="K56" i="2"/>
  <c r="T55" i="2"/>
  <c r="Q55" i="2"/>
  <c r="P55" i="2"/>
  <c r="O55" i="2"/>
  <c r="N55" i="2"/>
  <c r="K55" i="2"/>
  <c r="T54" i="2"/>
  <c r="Q54" i="2"/>
  <c r="P54" i="2"/>
  <c r="O54" i="2"/>
  <c r="N54" i="2"/>
  <c r="K54" i="2"/>
  <c r="T53" i="2"/>
  <c r="Q53" i="2"/>
  <c r="P53" i="2"/>
  <c r="O53" i="2"/>
  <c r="N53" i="2"/>
  <c r="K53" i="2"/>
  <c r="T52" i="2"/>
  <c r="Q52" i="2"/>
  <c r="P52" i="2"/>
  <c r="O52" i="2"/>
  <c r="N52" i="2"/>
  <c r="K52" i="2"/>
  <c r="T51" i="2"/>
  <c r="Q51" i="2"/>
  <c r="P51" i="2"/>
  <c r="O51" i="2"/>
  <c r="N51" i="2"/>
  <c r="K51" i="2"/>
  <c r="T50" i="2"/>
  <c r="Q50" i="2"/>
  <c r="P50" i="2"/>
  <c r="O50" i="2"/>
  <c r="N50" i="2"/>
  <c r="K50" i="2"/>
  <c r="T49" i="2"/>
  <c r="Q49" i="2"/>
  <c r="P49" i="2"/>
  <c r="O49" i="2"/>
  <c r="N49" i="2"/>
  <c r="K49" i="2"/>
  <c r="T48" i="2"/>
  <c r="Q48" i="2"/>
  <c r="P48" i="2"/>
  <c r="O48" i="2"/>
  <c r="N48" i="2"/>
  <c r="K48" i="2"/>
  <c r="T47" i="2"/>
  <c r="Q47" i="2"/>
  <c r="P47" i="2"/>
  <c r="O47" i="2"/>
  <c r="N47" i="2"/>
  <c r="K47" i="2"/>
  <c r="T46" i="2"/>
  <c r="Q46" i="2"/>
  <c r="P46" i="2"/>
  <c r="O46" i="2"/>
  <c r="N46" i="2"/>
  <c r="K46" i="2"/>
  <c r="T45" i="2"/>
  <c r="Q45" i="2"/>
  <c r="P45" i="2"/>
  <c r="O45" i="2"/>
  <c r="N45" i="2"/>
  <c r="K45" i="2"/>
  <c r="T44" i="2"/>
  <c r="Q44" i="2"/>
  <c r="P44" i="2"/>
  <c r="O44" i="2"/>
  <c r="N44" i="2"/>
  <c r="K44" i="2"/>
  <c r="T43" i="2"/>
  <c r="Q43" i="2"/>
  <c r="P43" i="2"/>
  <c r="O43" i="2"/>
  <c r="N43" i="2"/>
  <c r="K43" i="2"/>
  <c r="T42" i="2"/>
  <c r="Q42" i="2"/>
  <c r="P42" i="2"/>
  <c r="O42" i="2"/>
  <c r="N42" i="2"/>
  <c r="K42" i="2"/>
  <c r="T41" i="2"/>
  <c r="Q41" i="2"/>
  <c r="P41" i="2"/>
  <c r="O41" i="2"/>
  <c r="N41" i="2"/>
  <c r="K41" i="2"/>
  <c r="T40" i="2"/>
  <c r="Q40" i="2"/>
  <c r="P40" i="2"/>
  <c r="O40" i="2"/>
  <c r="N40" i="2"/>
  <c r="K40" i="2"/>
  <c r="T39" i="2"/>
  <c r="Q39" i="2"/>
  <c r="P39" i="2"/>
  <c r="O39" i="2"/>
  <c r="N39" i="2"/>
  <c r="K39" i="2"/>
  <c r="T38" i="2"/>
  <c r="Q38" i="2"/>
  <c r="P38" i="2"/>
  <c r="O38" i="2"/>
  <c r="N38" i="2"/>
  <c r="K38" i="2"/>
  <c r="T37" i="2"/>
  <c r="Q37" i="2"/>
  <c r="P37" i="2"/>
  <c r="O37" i="2"/>
  <c r="N37" i="2"/>
  <c r="K37" i="2"/>
  <c r="T36" i="2"/>
  <c r="Q36" i="2"/>
  <c r="P36" i="2"/>
  <c r="O36" i="2"/>
  <c r="N36" i="2"/>
  <c r="K36" i="2"/>
  <c r="T35" i="2"/>
  <c r="Q35" i="2"/>
  <c r="P35" i="2"/>
  <c r="O35" i="2"/>
  <c r="N35" i="2"/>
  <c r="K35" i="2"/>
  <c r="T34" i="2"/>
  <c r="Q34" i="2"/>
  <c r="P34" i="2"/>
  <c r="O34" i="2"/>
  <c r="N34" i="2"/>
  <c r="K34" i="2"/>
  <c r="T33" i="2"/>
  <c r="Q33" i="2"/>
  <c r="P33" i="2"/>
  <c r="O33" i="2"/>
  <c r="N33" i="2"/>
  <c r="K33" i="2"/>
  <c r="T32" i="2"/>
  <c r="Q32" i="2"/>
  <c r="P32" i="2"/>
  <c r="O32" i="2"/>
  <c r="N32" i="2"/>
  <c r="K32" i="2"/>
  <c r="T31" i="2"/>
  <c r="Q31" i="2"/>
  <c r="P31" i="2"/>
  <c r="O31" i="2"/>
  <c r="N31" i="2"/>
  <c r="K31" i="2"/>
  <c r="T30" i="2"/>
  <c r="Q30" i="2"/>
  <c r="P30" i="2"/>
  <c r="O30" i="2"/>
  <c r="N30" i="2"/>
  <c r="K30" i="2"/>
  <c r="T29" i="2"/>
  <c r="Q29" i="2"/>
  <c r="P29" i="2"/>
  <c r="O29" i="2"/>
  <c r="N29" i="2"/>
  <c r="K29" i="2"/>
  <c r="T28" i="2"/>
  <c r="Q28" i="2"/>
  <c r="P28" i="2"/>
  <c r="O28" i="2"/>
  <c r="N28" i="2"/>
  <c r="K28" i="2"/>
  <c r="T27" i="2"/>
  <c r="Q27" i="2"/>
  <c r="P27" i="2"/>
  <c r="O27" i="2"/>
  <c r="N27" i="2"/>
  <c r="K27" i="2"/>
  <c r="T26" i="2"/>
  <c r="Q26" i="2"/>
  <c r="P26" i="2"/>
  <c r="O26" i="2"/>
  <c r="N26" i="2"/>
  <c r="K26" i="2"/>
  <c r="T25" i="2"/>
  <c r="Q25" i="2"/>
  <c r="P25" i="2"/>
  <c r="O25" i="2"/>
  <c r="N25" i="2"/>
  <c r="K25" i="2"/>
  <c r="T24" i="2"/>
  <c r="Q24" i="2"/>
  <c r="P24" i="2"/>
  <c r="O24" i="2"/>
  <c r="N24" i="2"/>
  <c r="K24" i="2"/>
  <c r="T23" i="2"/>
  <c r="Q23" i="2"/>
  <c r="P23" i="2"/>
  <c r="O23" i="2"/>
  <c r="K23" i="2"/>
  <c r="T22" i="2"/>
  <c r="Q22" i="2"/>
  <c r="P22" i="2"/>
  <c r="O22" i="2"/>
  <c r="N22" i="2"/>
  <c r="K22" i="2"/>
  <c r="T21" i="2"/>
  <c r="Q21" i="2"/>
  <c r="P21" i="2"/>
  <c r="O21" i="2"/>
  <c r="N21" i="2"/>
  <c r="K21" i="2"/>
  <c r="T20" i="2"/>
  <c r="Q20" i="2"/>
  <c r="P20" i="2"/>
  <c r="O20" i="2"/>
  <c r="N20" i="2"/>
  <c r="K20" i="2"/>
  <c r="T19" i="2"/>
  <c r="Q19" i="2"/>
  <c r="P19" i="2"/>
  <c r="O19" i="2"/>
  <c r="N19" i="2"/>
  <c r="K19" i="2"/>
  <c r="J18" i="2"/>
  <c r="G18" i="2"/>
  <c r="F18" i="2"/>
  <c r="T265" i="2"/>
  <c r="I12" i="2"/>
  <c r="I11" i="2"/>
  <c r="I10" i="2"/>
  <c r="C6" i="2"/>
  <c r="J10" i="2" s="1"/>
  <c r="C5" i="2"/>
  <c r="C4" i="2"/>
  <c r="C3" i="2"/>
  <c r="C2" i="2"/>
  <c r="C9" i="2" s="1"/>
  <c r="G61" i="2" l="1"/>
  <c r="G19" i="2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164" i="2"/>
  <c r="I18" i="2"/>
  <c r="I62" i="2" s="1"/>
  <c r="I8" i="2"/>
  <c r="I198" i="2"/>
  <c r="G197" i="2"/>
  <c r="I201" i="2"/>
  <c r="I264" i="2" s="1"/>
  <c r="F61" i="2"/>
  <c r="F19" i="2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T62" i="2"/>
  <c r="F164" i="2"/>
  <c r="F66" i="2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F84" i="2" s="1"/>
  <c r="F85" i="2" s="1"/>
  <c r="F86" i="2" s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F97" i="2" s="1"/>
  <c r="F98" i="2" s="1"/>
  <c r="F99" i="2" s="1"/>
  <c r="F100" i="2" s="1"/>
  <c r="F101" i="2" s="1"/>
  <c r="F102" i="2" s="1"/>
  <c r="F103" i="2" s="1"/>
  <c r="F104" i="2" s="1"/>
  <c r="F105" i="2" s="1"/>
  <c r="F106" i="2" s="1"/>
  <c r="F107" i="2" s="1"/>
  <c r="F108" i="2" s="1"/>
  <c r="F109" i="2" s="1"/>
  <c r="F110" i="2" s="1"/>
  <c r="F111" i="2" s="1"/>
  <c r="F112" i="2" s="1"/>
  <c r="F113" i="2" s="1"/>
  <c r="F114" i="2" s="1"/>
  <c r="F115" i="2" s="1"/>
  <c r="F116" i="2" s="1"/>
  <c r="F117" i="2" s="1"/>
  <c r="F118" i="2" s="1"/>
  <c r="F119" i="2" s="1"/>
  <c r="F120" i="2" s="1"/>
  <c r="F121" i="2" s="1"/>
  <c r="F122" i="2" s="1"/>
  <c r="F123" i="2" s="1"/>
  <c r="F124" i="2" s="1"/>
  <c r="F125" i="2" s="1"/>
  <c r="F126" i="2" s="1"/>
  <c r="F127" i="2" s="1"/>
  <c r="F128" i="2" s="1"/>
  <c r="F129" i="2" s="1"/>
  <c r="F130" i="2" s="1"/>
  <c r="F131" i="2" s="1"/>
  <c r="F132" i="2" s="1"/>
  <c r="F133" i="2" s="1"/>
  <c r="F134" i="2" s="1"/>
  <c r="F135" i="2" s="1"/>
  <c r="F136" i="2" s="1"/>
  <c r="F137" i="2" s="1"/>
  <c r="F138" i="2" s="1"/>
  <c r="F139" i="2" s="1"/>
  <c r="F140" i="2" s="1"/>
  <c r="F141" i="2" s="1"/>
  <c r="F142" i="2" s="1"/>
  <c r="F143" i="2" s="1"/>
  <c r="F144" i="2" s="1"/>
  <c r="F145" i="2" s="1"/>
  <c r="F146" i="2" s="1"/>
  <c r="F147" i="2" s="1"/>
  <c r="F148" i="2" s="1"/>
  <c r="F149" i="2" s="1"/>
  <c r="F150" i="2" s="1"/>
  <c r="F151" i="2" s="1"/>
  <c r="F152" i="2" s="1"/>
  <c r="F153" i="2" s="1"/>
  <c r="F154" i="2" s="1"/>
  <c r="F155" i="2" s="1"/>
  <c r="F156" i="2" s="1"/>
  <c r="F157" i="2" s="1"/>
  <c r="F158" i="2" s="1"/>
  <c r="F159" i="2" s="1"/>
  <c r="F160" i="2" s="1"/>
  <c r="F161" i="2" s="1"/>
  <c r="F162" i="2" s="1"/>
  <c r="F163" i="2" s="1"/>
  <c r="T165" i="2"/>
  <c r="G66" i="2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I165" i="2"/>
  <c r="F197" i="2"/>
  <c r="F169" i="2"/>
  <c r="F170" i="2" s="1"/>
  <c r="F171" i="2" s="1"/>
  <c r="F172" i="2" s="1"/>
  <c r="F173" i="2" s="1"/>
  <c r="F174" i="2" s="1"/>
  <c r="F175" i="2" s="1"/>
  <c r="F176" i="2" s="1"/>
  <c r="F177" i="2" s="1"/>
  <c r="F178" i="2" s="1"/>
  <c r="F179" i="2" s="1"/>
  <c r="F180" i="2" s="1"/>
  <c r="F181" i="2" s="1"/>
  <c r="F182" i="2" s="1"/>
  <c r="F183" i="2" s="1"/>
  <c r="F184" i="2" s="1"/>
  <c r="F185" i="2" s="1"/>
  <c r="F186" i="2" s="1"/>
  <c r="F187" i="2" s="1"/>
  <c r="F188" i="2" s="1"/>
  <c r="F189" i="2" s="1"/>
  <c r="F190" i="2" s="1"/>
  <c r="F191" i="2" s="1"/>
  <c r="F192" i="2" s="1"/>
  <c r="F193" i="2" s="1"/>
  <c r="F194" i="2" s="1"/>
  <c r="F195" i="2" s="1"/>
  <c r="F196" i="2" s="1"/>
  <c r="T264" i="2"/>
  <c r="T198" i="2"/>
  <c r="G263" i="2"/>
  <c r="G202" i="2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G233" i="2" s="1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F263" i="2"/>
  <c r="F202" i="2"/>
  <c r="F203" i="2" s="1"/>
  <c r="F204" i="2" s="1"/>
  <c r="F205" i="2" s="1"/>
  <c r="F206" i="2" s="1"/>
  <c r="F207" i="2" s="1"/>
  <c r="F208" i="2" s="1"/>
  <c r="F209" i="2" s="1"/>
  <c r="F210" i="2" s="1"/>
  <c r="F211" i="2" s="1"/>
  <c r="F212" i="2" s="1"/>
  <c r="F213" i="2" s="1"/>
  <c r="F214" i="2" s="1"/>
  <c r="F215" i="2" s="1"/>
  <c r="F216" i="2" s="1"/>
  <c r="F217" i="2" s="1"/>
  <c r="F218" i="2" s="1"/>
  <c r="F219" i="2" s="1"/>
  <c r="F220" i="2" s="1"/>
  <c r="F221" i="2" s="1"/>
  <c r="F222" i="2" s="1"/>
  <c r="F223" i="2" s="1"/>
  <c r="F224" i="2" s="1"/>
  <c r="F225" i="2" s="1"/>
  <c r="F226" i="2" s="1"/>
  <c r="F227" i="2" s="1"/>
  <c r="F228" i="2" s="1"/>
  <c r="F229" i="2" s="1"/>
  <c r="F230" i="2" s="1"/>
  <c r="F231" i="2" s="1"/>
  <c r="F232" i="2" s="1"/>
  <c r="F233" i="2" s="1"/>
  <c r="F234" i="2" s="1"/>
  <c r="F235" i="2" s="1"/>
  <c r="F236" i="2" s="1"/>
  <c r="F237" i="2" s="1"/>
  <c r="F238" i="2" s="1"/>
  <c r="F239" i="2" s="1"/>
  <c r="F240" i="2" s="1"/>
  <c r="F241" i="2" s="1"/>
  <c r="F242" i="2" s="1"/>
  <c r="F243" i="2" s="1"/>
  <c r="F244" i="2" s="1"/>
  <c r="F245" i="2" s="1"/>
  <c r="F246" i="2" s="1"/>
  <c r="F247" i="2" s="1"/>
  <c r="F248" i="2" s="1"/>
  <c r="F249" i="2" s="1"/>
  <c r="F250" i="2" s="1"/>
  <c r="F251" i="2" s="1"/>
  <c r="F252" i="2" s="1"/>
  <c r="F253" i="2" s="1"/>
  <c r="F254" i="2" s="1"/>
  <c r="F255" i="2" s="1"/>
  <c r="F256" i="2" s="1"/>
  <c r="F257" i="2" s="1"/>
  <c r="F258" i="2" s="1"/>
  <c r="F259" i="2" s="1"/>
  <c r="F260" i="2" s="1"/>
  <c r="F261" i="2" s="1"/>
  <c r="F262" i="2" s="1"/>
  <c r="G169" i="2" l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T100" i="1" l="1"/>
  <c r="Q100" i="1"/>
  <c r="P100" i="1"/>
  <c r="O100" i="1"/>
  <c r="N100" i="1"/>
  <c r="K100" i="1"/>
  <c r="T99" i="1"/>
  <c r="Q99" i="1"/>
  <c r="P99" i="1"/>
  <c r="O99" i="1"/>
  <c r="N99" i="1"/>
  <c r="K99" i="1"/>
  <c r="J98" i="1"/>
  <c r="G98" i="1"/>
  <c r="I98" i="1" s="1"/>
  <c r="F98" i="1"/>
  <c r="D98" i="1"/>
  <c r="T93" i="1"/>
  <c r="Q93" i="1"/>
  <c r="P93" i="1"/>
  <c r="O93" i="1"/>
  <c r="N93" i="1"/>
  <c r="K93" i="1"/>
  <c r="T92" i="1"/>
  <c r="Q92" i="1"/>
  <c r="P92" i="1"/>
  <c r="O92" i="1"/>
  <c r="N92" i="1"/>
  <c r="K92" i="1"/>
  <c r="T91" i="1"/>
  <c r="Q91" i="1"/>
  <c r="P91" i="1"/>
  <c r="O91" i="1"/>
  <c r="N91" i="1"/>
  <c r="K91" i="1"/>
  <c r="T90" i="1"/>
  <c r="Q90" i="1"/>
  <c r="P90" i="1"/>
  <c r="O90" i="1"/>
  <c r="N90" i="1"/>
  <c r="K90" i="1"/>
  <c r="J89" i="1"/>
  <c r="G89" i="1"/>
  <c r="F89" i="1"/>
  <c r="D89" i="1"/>
  <c r="T84" i="1"/>
  <c r="Q84" i="1"/>
  <c r="P84" i="1"/>
  <c r="O84" i="1"/>
  <c r="N84" i="1"/>
  <c r="K84" i="1"/>
  <c r="J83" i="1"/>
  <c r="G83" i="1"/>
  <c r="I83" i="1" s="1"/>
  <c r="F83" i="1"/>
  <c r="D83" i="1"/>
  <c r="T78" i="1"/>
  <c r="Q78" i="1"/>
  <c r="P78" i="1"/>
  <c r="O78" i="1"/>
  <c r="N78" i="1"/>
  <c r="K78" i="1"/>
  <c r="T77" i="1"/>
  <c r="Q77" i="1"/>
  <c r="P77" i="1"/>
  <c r="O77" i="1"/>
  <c r="N77" i="1"/>
  <c r="K77" i="1"/>
  <c r="T76" i="1"/>
  <c r="Q76" i="1"/>
  <c r="P76" i="1"/>
  <c r="O76" i="1"/>
  <c r="N76" i="1"/>
  <c r="K76" i="1"/>
  <c r="T75" i="1"/>
  <c r="Q75" i="1"/>
  <c r="P75" i="1"/>
  <c r="O75" i="1"/>
  <c r="N75" i="1"/>
  <c r="K75" i="1"/>
  <c r="T74" i="1"/>
  <c r="Q74" i="1"/>
  <c r="P74" i="1"/>
  <c r="O74" i="1"/>
  <c r="N74" i="1"/>
  <c r="K74" i="1"/>
  <c r="J73" i="1"/>
  <c r="G73" i="1"/>
  <c r="I73" i="1" s="1"/>
  <c r="F73" i="1"/>
  <c r="F79" i="1" s="1"/>
  <c r="D73" i="1"/>
  <c r="T68" i="1"/>
  <c r="Q68" i="1"/>
  <c r="P68" i="1"/>
  <c r="O68" i="1"/>
  <c r="N68" i="1"/>
  <c r="K68" i="1"/>
  <c r="T67" i="1"/>
  <c r="Q67" i="1"/>
  <c r="P67" i="1"/>
  <c r="O67" i="1"/>
  <c r="N67" i="1"/>
  <c r="K67" i="1"/>
  <c r="T66" i="1"/>
  <c r="Q66" i="1"/>
  <c r="P66" i="1"/>
  <c r="O66" i="1"/>
  <c r="N66" i="1"/>
  <c r="K66" i="1"/>
  <c r="T65" i="1"/>
  <c r="Q65" i="1"/>
  <c r="P65" i="1"/>
  <c r="O65" i="1"/>
  <c r="N65" i="1"/>
  <c r="K65" i="1"/>
  <c r="J64" i="1"/>
  <c r="G64" i="1"/>
  <c r="I64" i="1" s="1"/>
  <c r="F64" i="1"/>
  <c r="D64" i="1"/>
  <c r="T59" i="1"/>
  <c r="Q59" i="1"/>
  <c r="P59" i="1"/>
  <c r="O59" i="1"/>
  <c r="N59" i="1"/>
  <c r="K59" i="1"/>
  <c r="T58" i="1"/>
  <c r="Q58" i="1"/>
  <c r="P58" i="1"/>
  <c r="O58" i="1"/>
  <c r="N58" i="1"/>
  <c r="K58" i="1"/>
  <c r="T57" i="1"/>
  <c r="Q57" i="1"/>
  <c r="P57" i="1"/>
  <c r="O57" i="1"/>
  <c r="N57" i="1"/>
  <c r="K57" i="1"/>
  <c r="T56" i="1"/>
  <c r="Q56" i="1"/>
  <c r="P56" i="1"/>
  <c r="O56" i="1"/>
  <c r="N56" i="1"/>
  <c r="K56" i="1"/>
  <c r="T55" i="1"/>
  <c r="Q55" i="1"/>
  <c r="P55" i="1"/>
  <c r="O55" i="1"/>
  <c r="N55" i="1"/>
  <c r="K55" i="1"/>
  <c r="T54" i="1"/>
  <c r="Q54" i="1"/>
  <c r="P54" i="1"/>
  <c r="O54" i="1"/>
  <c r="N54" i="1"/>
  <c r="K54" i="1"/>
  <c r="T53" i="1"/>
  <c r="Q53" i="1"/>
  <c r="P53" i="1"/>
  <c r="O53" i="1"/>
  <c r="N53" i="1"/>
  <c r="K53" i="1"/>
  <c r="T52" i="1"/>
  <c r="Q52" i="1"/>
  <c r="P52" i="1"/>
  <c r="O52" i="1"/>
  <c r="N52" i="1"/>
  <c r="K52" i="1"/>
  <c r="T51" i="1"/>
  <c r="Q51" i="1"/>
  <c r="P51" i="1"/>
  <c r="O51" i="1"/>
  <c r="N51" i="1"/>
  <c r="K51" i="1"/>
  <c r="T50" i="1"/>
  <c r="Q50" i="1"/>
  <c r="P50" i="1"/>
  <c r="O50" i="1"/>
  <c r="N50" i="1"/>
  <c r="K50" i="1"/>
  <c r="T49" i="1"/>
  <c r="Q49" i="1"/>
  <c r="P49" i="1"/>
  <c r="O49" i="1"/>
  <c r="N49" i="1"/>
  <c r="K49" i="1"/>
  <c r="T48" i="1"/>
  <c r="Q48" i="1"/>
  <c r="P48" i="1"/>
  <c r="O48" i="1"/>
  <c r="N48" i="1"/>
  <c r="K48" i="1"/>
  <c r="T47" i="1"/>
  <c r="Q47" i="1"/>
  <c r="P47" i="1"/>
  <c r="O47" i="1"/>
  <c r="N47" i="1"/>
  <c r="K47" i="1"/>
  <c r="T46" i="1"/>
  <c r="Q46" i="1"/>
  <c r="P46" i="1"/>
  <c r="O46" i="1"/>
  <c r="N46" i="1"/>
  <c r="K46" i="1"/>
  <c r="T45" i="1"/>
  <c r="Q45" i="1"/>
  <c r="P45" i="1"/>
  <c r="O45" i="1"/>
  <c r="N45" i="1"/>
  <c r="K45" i="1"/>
  <c r="T44" i="1"/>
  <c r="Q44" i="1"/>
  <c r="P44" i="1"/>
  <c r="O44" i="1"/>
  <c r="N44" i="1"/>
  <c r="K44" i="1"/>
  <c r="T43" i="1"/>
  <c r="Q43" i="1"/>
  <c r="P43" i="1"/>
  <c r="O43" i="1"/>
  <c r="N43" i="1"/>
  <c r="K43" i="1"/>
  <c r="T42" i="1"/>
  <c r="Q42" i="1"/>
  <c r="P42" i="1"/>
  <c r="O42" i="1"/>
  <c r="N42" i="1"/>
  <c r="K42" i="1"/>
  <c r="T41" i="1"/>
  <c r="Q41" i="1"/>
  <c r="P41" i="1"/>
  <c r="O41" i="1"/>
  <c r="N41" i="1"/>
  <c r="K41" i="1"/>
  <c r="T40" i="1"/>
  <c r="Q40" i="1"/>
  <c r="P40" i="1"/>
  <c r="O40" i="1"/>
  <c r="N40" i="1"/>
  <c r="K40" i="1"/>
  <c r="T39" i="1"/>
  <c r="Q39" i="1"/>
  <c r="P39" i="1"/>
  <c r="O39" i="1"/>
  <c r="N39" i="1"/>
  <c r="K39" i="1"/>
  <c r="T38" i="1"/>
  <c r="Q38" i="1"/>
  <c r="P38" i="1"/>
  <c r="O38" i="1"/>
  <c r="N38" i="1"/>
  <c r="K38" i="1"/>
  <c r="T37" i="1"/>
  <c r="Q37" i="1"/>
  <c r="P37" i="1"/>
  <c r="O37" i="1"/>
  <c r="N37" i="1"/>
  <c r="K37" i="1"/>
  <c r="T36" i="1"/>
  <c r="Q36" i="1"/>
  <c r="P36" i="1"/>
  <c r="O36" i="1"/>
  <c r="N36" i="1"/>
  <c r="K36" i="1"/>
  <c r="J35" i="1"/>
  <c r="G35" i="1"/>
  <c r="I35" i="1" s="1"/>
  <c r="F35" i="1"/>
  <c r="F60" i="1" s="1"/>
  <c r="D35" i="1"/>
  <c r="T30" i="1"/>
  <c r="Q30" i="1"/>
  <c r="P30" i="1"/>
  <c r="O30" i="1"/>
  <c r="N30" i="1"/>
  <c r="K30" i="1"/>
  <c r="T29" i="1"/>
  <c r="Q29" i="1"/>
  <c r="P29" i="1"/>
  <c r="O29" i="1"/>
  <c r="N29" i="1"/>
  <c r="K29" i="1"/>
  <c r="T28" i="1"/>
  <c r="Q28" i="1"/>
  <c r="P28" i="1"/>
  <c r="O28" i="1"/>
  <c r="N28" i="1"/>
  <c r="K28" i="1"/>
  <c r="T27" i="1"/>
  <c r="Q27" i="1"/>
  <c r="P27" i="1"/>
  <c r="O27" i="1"/>
  <c r="N27" i="1"/>
  <c r="K27" i="1"/>
  <c r="J26" i="1"/>
  <c r="G26" i="1"/>
  <c r="F26" i="1"/>
  <c r="F31" i="1" s="1"/>
  <c r="D26" i="1"/>
  <c r="T21" i="1"/>
  <c r="Q21" i="1"/>
  <c r="P21" i="1"/>
  <c r="O21" i="1"/>
  <c r="N21" i="1"/>
  <c r="K21" i="1"/>
  <c r="T20" i="1"/>
  <c r="Q20" i="1"/>
  <c r="P20" i="1"/>
  <c r="O20" i="1"/>
  <c r="N20" i="1"/>
  <c r="K20" i="1"/>
  <c r="T19" i="1"/>
  <c r="Q19" i="1"/>
  <c r="P19" i="1"/>
  <c r="O19" i="1"/>
  <c r="N19" i="1"/>
  <c r="K19" i="1"/>
  <c r="T18" i="1"/>
  <c r="Q18" i="1"/>
  <c r="P18" i="1"/>
  <c r="O18" i="1"/>
  <c r="N18" i="1"/>
  <c r="K18" i="1"/>
  <c r="T17" i="1"/>
  <c r="Q17" i="1"/>
  <c r="P17" i="1"/>
  <c r="O17" i="1"/>
  <c r="N17" i="1"/>
  <c r="K17" i="1"/>
  <c r="J16" i="1"/>
  <c r="G16" i="1"/>
  <c r="G17" i="1" s="1"/>
  <c r="G18" i="1" s="1"/>
  <c r="G19" i="1" s="1"/>
  <c r="G20" i="1" s="1"/>
  <c r="G21" i="1" s="1"/>
  <c r="F16" i="1"/>
  <c r="D16" i="1"/>
  <c r="T103" i="1"/>
  <c r="J11" i="1"/>
  <c r="I11" i="1"/>
  <c r="J10" i="1"/>
  <c r="I10" i="1"/>
  <c r="B10" i="1"/>
  <c r="J9" i="1"/>
  <c r="I9" i="1"/>
  <c r="C9" i="1"/>
  <c r="C7" i="1"/>
  <c r="C5" i="1"/>
  <c r="D5" i="1" s="1"/>
  <c r="C4" i="1"/>
  <c r="G101" i="1" l="1"/>
  <c r="I70" i="1"/>
  <c r="I86" i="1"/>
  <c r="G85" i="1"/>
  <c r="T32" i="1"/>
  <c r="T102" i="1"/>
  <c r="I16" i="1"/>
  <c r="I23" i="1" s="1"/>
  <c r="T70" i="1"/>
  <c r="T86" i="1"/>
  <c r="F22" i="1"/>
  <c r="F17" i="1"/>
  <c r="F18" i="1" s="1"/>
  <c r="F19" i="1" s="1"/>
  <c r="F20" i="1" s="1"/>
  <c r="F21" i="1" s="1"/>
  <c r="G60" i="1"/>
  <c r="G36" i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T80" i="1"/>
  <c r="I102" i="1"/>
  <c r="I80" i="1"/>
  <c r="T23" i="1"/>
  <c r="T95" i="1"/>
  <c r="G31" i="1"/>
  <c r="G27" i="1"/>
  <c r="G28" i="1" s="1"/>
  <c r="G29" i="1" s="1"/>
  <c r="G30" i="1" s="1"/>
  <c r="F27" i="1"/>
  <c r="F28" i="1" s="1"/>
  <c r="F29" i="1" s="1"/>
  <c r="F30" i="1" s="1"/>
  <c r="G22" i="1"/>
  <c r="F36" i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9" i="1"/>
  <c r="F65" i="1"/>
  <c r="F66" i="1" s="1"/>
  <c r="F67" i="1" s="1"/>
  <c r="F68" i="1" s="1"/>
  <c r="I26" i="1"/>
  <c r="I32" i="1" s="1"/>
  <c r="I61" i="1"/>
  <c r="F85" i="1"/>
  <c r="F84" i="1"/>
  <c r="F74" i="1"/>
  <c r="F75" i="1" s="1"/>
  <c r="F76" i="1" s="1"/>
  <c r="F77" i="1" s="1"/>
  <c r="F78" i="1" s="1"/>
  <c r="T61" i="1"/>
  <c r="F94" i="1"/>
  <c r="F90" i="1"/>
  <c r="F91" i="1" s="1"/>
  <c r="F92" i="1" s="1"/>
  <c r="F93" i="1" s="1"/>
  <c r="G94" i="1"/>
  <c r="G90" i="1"/>
  <c r="G91" i="1" s="1"/>
  <c r="G92" i="1" s="1"/>
  <c r="G93" i="1" s="1"/>
  <c r="F101" i="1"/>
  <c r="F99" i="1"/>
  <c r="F100" i="1" s="1"/>
  <c r="I89" i="1"/>
  <c r="I95" i="1" s="1"/>
  <c r="G99" i="1" l="1"/>
  <c r="G100" i="1" s="1"/>
  <c r="G84" i="1"/>
  <c r="G65" i="1"/>
  <c r="G66" i="1" s="1"/>
  <c r="G67" i="1" s="1"/>
  <c r="G68" i="1" s="1"/>
  <c r="G69" i="1"/>
  <c r="G74" i="1"/>
  <c r="G75" i="1" s="1"/>
  <c r="G76" i="1" s="1"/>
  <c r="G77" i="1" s="1"/>
  <c r="G78" i="1" s="1"/>
  <c r="G79" i="1"/>
  <c r="C2" i="1" l="1"/>
  <c r="C8" i="1" l="1"/>
  <c r="C3" i="1"/>
  <c r="I7" i="1" s="1"/>
</calcChain>
</file>

<file path=xl/sharedStrings.xml><?xml version="1.0" encoding="utf-8"?>
<sst xmlns="http://schemas.openxmlformats.org/spreadsheetml/2006/main" count="749" uniqueCount="34">
  <si>
    <t>Auto+Hide+Values+Formulas=Sheet9,Sheet5,Sheet6</t>
  </si>
  <si>
    <t>Hide</t>
  </si>
  <si>
    <t>Fit</t>
  </si>
  <si>
    <t>Start Date</t>
  </si>
  <si>
    <t>End Date</t>
  </si>
  <si>
    <t>Current Filter</t>
  </si>
  <si>
    <t>Department</t>
  </si>
  <si>
    <t>Location</t>
  </si>
  <si>
    <t>*</t>
  </si>
  <si>
    <t>Company</t>
  </si>
  <si>
    <t>Beginning Period</t>
  </si>
  <si>
    <t>Account Filter</t>
  </si>
  <si>
    <t>Print Date:</t>
  </si>
  <si>
    <t>G/L Account No.</t>
  </si>
  <si>
    <t>G/L Account Name</t>
  </si>
  <si>
    <t>Transaction Date</t>
  </si>
  <si>
    <t>Journal No.</t>
  </si>
  <si>
    <t>Vendor</t>
  </si>
  <si>
    <t>Document Number</t>
  </si>
  <si>
    <t>Reference</t>
  </si>
  <si>
    <t>Transaction Description</t>
  </si>
  <si>
    <t>Debit Amount</t>
  </si>
  <si>
    <t>Credit Amount</t>
  </si>
  <si>
    <t>Total</t>
  </si>
  <si>
    <t>Auto</t>
  </si>
  <si>
    <t>Report Total:</t>
  </si>
  <si>
    <t>GL Activity Detail Report, URHS July-August 2025 Tribal Accounts</t>
  </si>
  <si>
    <t>Auto+Hide+Values+Formulas=Sheet6,Sheet3,Sheet4</t>
  </si>
  <si>
    <t>Grant</t>
  </si>
  <si>
    <t>Contract</t>
  </si>
  <si>
    <t>Check Number</t>
  </si>
  <si>
    <t>GL Activity Detail Report, URHS Grant 3460 July - August 2025</t>
  </si>
  <si>
    <t>GL Activity Detail Report, URHS Grant 3430, July-August 2025</t>
  </si>
  <si>
    <t>GL Activity Detail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</si>
</sst>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theme="0" tint="-0.34998626667073579"/>
      <name val="Arial"/>
      <family val="2"/>
    </font>
    <font>
      <b/>
      <sz val="11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6">
    <xf numFmtId="0" fontId="0" fillId="0" borderId="0" xfId="0"/>
    <xf numFmtId="0" fontId="0" fillId="2" borderId="0" xfId="0" applyFill="1"/>
    <xf numFmtId="0" fontId="2" fillId="2" borderId="0" xfId="0" applyFont="1" applyFill="1"/>
    <xf numFmtId="14" fontId="0" fillId="2" borderId="0" xfId="0" applyNumberFormat="1" applyFont="1" applyFill="1" applyBorder="1" applyAlignment="1">
      <alignment horizontal="center"/>
    </xf>
    <xf numFmtId="1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/>
    <xf numFmtId="0" fontId="0" fillId="2" borderId="0" xfId="0" applyNumberFormat="1" applyFill="1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14" fontId="4" fillId="0" borderId="0" xfId="0" applyNumberFormat="1" applyFont="1" applyAlignment="1">
      <alignment horizontal="center"/>
    </xf>
    <xf numFmtId="0" fontId="5" fillId="3" borderId="0" xfId="0" applyFont="1" applyFill="1"/>
    <xf numFmtId="0" fontId="5" fillId="0" borderId="0" xfId="0" applyFont="1"/>
    <xf numFmtId="44" fontId="5" fillId="0" borderId="0" xfId="2" applyFont="1"/>
    <xf numFmtId="0" fontId="6" fillId="2" borderId="0" xfId="0" applyFont="1" applyFill="1"/>
    <xf numFmtId="0" fontId="6" fillId="0" borderId="0" xfId="0" applyFont="1" applyFill="1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  <xf numFmtId="43" fontId="5" fillId="3" borderId="1" xfId="1" applyFont="1" applyFill="1" applyBorder="1"/>
    <xf numFmtId="43" fontId="7" fillId="3" borderId="2" xfId="1" applyFont="1" applyFill="1" applyBorder="1"/>
    <xf numFmtId="0" fontId="8" fillId="2" borderId="0" xfId="3" applyFill="1"/>
    <xf numFmtId="0" fontId="2" fillId="2" borderId="0" xfId="3" applyFont="1" applyFill="1"/>
    <xf numFmtId="14" fontId="1" fillId="0" borderId="0" xfId="4" applyNumberFormat="1" applyAlignment="1">
      <alignment horizontal="center"/>
    </xf>
    <xf numFmtId="14" fontId="8" fillId="2" borderId="0" xfId="3" applyNumberFormat="1" applyFill="1" applyAlignment="1">
      <alignment horizontal="center"/>
    </xf>
    <xf numFmtId="0" fontId="8" fillId="2" borderId="0" xfId="3" applyFill="1" applyAlignment="1">
      <alignment horizontal="center"/>
    </xf>
    <xf numFmtId="0" fontId="8" fillId="0" borderId="0" xfId="3" applyFill="1"/>
    <xf numFmtId="0" fontId="8" fillId="0" borderId="0" xfId="3"/>
    <xf numFmtId="0" fontId="8" fillId="2" borderId="0" xfId="3" applyNumberFormat="1" applyFill="1" applyAlignment="1">
      <alignment horizontal="center"/>
    </xf>
    <xf numFmtId="0" fontId="8" fillId="0" borderId="0" xfId="3" applyAlignment="1">
      <alignment horizontal="left"/>
    </xf>
    <xf numFmtId="14" fontId="8" fillId="0" borderId="0" xfId="3" applyNumberFormat="1" applyAlignment="1">
      <alignment horizontal="center"/>
    </xf>
    <xf numFmtId="0" fontId="8" fillId="0" borderId="0" xfId="3" applyAlignment="1">
      <alignment horizontal="center"/>
    </xf>
    <xf numFmtId="0" fontId="4" fillId="0" borderId="0" xfId="3" applyFont="1"/>
    <xf numFmtId="14" fontId="4" fillId="0" borderId="0" xfId="3" applyNumberFormat="1" applyFont="1" applyAlignment="1">
      <alignment horizontal="center"/>
    </xf>
    <xf numFmtId="0" fontId="5" fillId="3" borderId="0" xfId="3" applyFont="1" applyFill="1"/>
    <xf numFmtId="0" fontId="5" fillId="0" borderId="0" xfId="3" applyFont="1"/>
    <xf numFmtId="44" fontId="5" fillId="0" borderId="0" xfId="5" applyFont="1"/>
    <xf numFmtId="0" fontId="6" fillId="2" borderId="0" xfId="3" applyFont="1" applyFill="1"/>
    <xf numFmtId="0" fontId="6" fillId="0" borderId="0" xfId="3" applyFont="1" applyFill="1"/>
    <xf numFmtId="14" fontId="8" fillId="0" borderId="0" xfId="3" applyNumberFormat="1"/>
    <xf numFmtId="0" fontId="8" fillId="0" borderId="0" xfId="3" applyAlignment="1">
      <alignment horizontal="right"/>
    </xf>
    <xf numFmtId="43" fontId="0" fillId="0" borderId="0" xfId="6" applyFont="1"/>
    <xf numFmtId="43" fontId="8" fillId="0" borderId="0" xfId="3" applyNumberFormat="1"/>
    <xf numFmtId="43" fontId="5" fillId="3" borderId="1" xfId="6" applyFont="1" applyFill="1" applyBorder="1"/>
    <xf numFmtId="43" fontId="7" fillId="3" borderId="2" xfId="6" applyFont="1" applyFill="1" applyBorder="1"/>
    <xf numFmtId="0" fontId="7" fillId="3" borderId="0" xfId="0" applyFont="1" applyFill="1" applyBorder="1" applyAlignment="1">
      <alignment horizontal="right"/>
    </xf>
    <xf numFmtId="0" fontId="3" fillId="0" borderId="0" xfId="0" applyFont="1" applyAlignment="1">
      <alignment horizontal="left"/>
    </xf>
    <xf numFmtId="0" fontId="5" fillId="3" borderId="0" xfId="0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7" fillId="3" borderId="0" xfId="3" applyFont="1" applyFill="1" applyBorder="1" applyAlignment="1">
      <alignment horizontal="right"/>
    </xf>
    <xf numFmtId="0" fontId="5" fillId="3" borderId="0" xfId="3" applyFont="1" applyFill="1" applyBorder="1" applyAlignment="1">
      <alignment horizontal="right"/>
    </xf>
    <xf numFmtId="0" fontId="3" fillId="0" borderId="0" xfId="3" applyFont="1" applyAlignment="1">
      <alignment horizontal="left"/>
    </xf>
    <xf numFmtId="0" fontId="4" fillId="0" borderId="0" xfId="3" applyFont="1" applyAlignment="1">
      <alignment horizontal="left"/>
    </xf>
  </cellXfs>
  <cellStyles count="7">
    <cellStyle name="Comma" xfId="1" builtinId="3"/>
    <cellStyle name="Comma 2" xfId="6"/>
    <cellStyle name="Currency" xfId="2" builtinId="4"/>
    <cellStyle name="Currency 2" xfId="5"/>
    <cellStyle name="Normal" xfId="0" builtinId="0"/>
    <cellStyle name="Normal 2" xfId="3"/>
    <cellStyle name="Normal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llp\AppData\Local\Microsoft\Windows\INetCache\Content.Outlook\3ZPOG2L7\343%20FIA%20UT%205101%20(08.16.2025)%20-%20Grant_Repo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llp\AppData\Local\Microsoft\Windows\INetCache\Content.Outlook\3ZPOG2L7\3460%2092%20URHS%20FY2025%20(08.16.2025)%20-%20Grant_Repor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llp\AppData\Local\Microsoft\Windows\INetCache\Content.Outlook\3ZPOG2L7\5021%20(08.17.2025)%20-%20Department_ReportMaste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3gp10\Shares\Users\administrator\AppData\Roaming\Microsoft\Excel\jet-reports-tutorial-jet-scheduler-excel-batch-template\Dynamic%20Scheduler_Report%20for.Department_ReportMaste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3gp10\Shares\Users\administrator\AppData\Roaming\Microsoft\Excel\Jet%20Reports\GL_TrialBalance_Detail_v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llp\AppData\Local\Microsoft\Windows\INetCache\Content.Outlook\3ZPOG2L7\3420%20FIA%2054%20UT%202025%205101%20(09.13.2025)%20-%20Grant_Repor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llp\AppData\Local\Microsoft\Windows\INetCache\Content.Outlook\3ZPOG2L7\3440%20FY2025%20TITLE%201%20URHS%20(09.13.2025)%20-%20Grant_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Email"/>
      <sheetName val="Summary"/>
      <sheetName val="Detail"/>
      <sheetName val="Sheet1"/>
      <sheetName val="Sheet2"/>
      <sheetName val="Sheet3"/>
      <sheetName val="Sheet4"/>
      <sheetName val="Sheet5"/>
      <sheetName val="Sheet6"/>
    </sheetNames>
    <sheetDataSet>
      <sheetData sheetId="0">
        <row r="7">
          <cell r="D7" t="str">
            <v>..9/30/2020</v>
          </cell>
        </row>
        <row r="8">
          <cell r="D8" t="str">
            <v>343 FIA UT 5101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Email"/>
      <sheetName val="Summary"/>
      <sheetName val="Detail"/>
      <sheetName val="Sheet1"/>
      <sheetName val="Sheet2"/>
      <sheetName val="Sheet3"/>
      <sheetName val="Sheet4"/>
      <sheetName val="Sheet5"/>
      <sheetName val="Sheet6"/>
    </sheetNames>
    <sheetDataSet>
      <sheetData sheetId="0">
        <row r="7">
          <cell r="D7" t="str">
            <v>..9/30/2020</v>
          </cell>
        </row>
        <row r="8">
          <cell r="D8" t="str">
            <v>3460 92 URHS FY2025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Email Info"/>
      <sheetName val="5021 (2)"/>
      <sheetName val="5021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</sheetNames>
    <sheetDataSet>
      <sheetData sheetId="0">
        <row r="7">
          <cell r="D7" t="str">
            <v>9/1/2020..9/30/2020</v>
          </cell>
        </row>
        <row r="8">
          <cell r="D8">
            <v>5021</v>
          </cell>
        </row>
      </sheetData>
      <sheetData sheetId="1" refreshError="1"/>
      <sheetData sheetId="2">
        <row r="4">
          <cell r="E4">
            <v>45888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Email Info"/>
      <sheetName val="Department Detail"/>
    </sheetNames>
    <sheetDataSet>
      <sheetData sheetId="0">
        <row r="6">
          <cell r="D6">
            <v>3500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Options"/>
      <sheetName val="Report"/>
      <sheetName val="Sheet7"/>
      <sheetName val="Summary"/>
      <sheetName val="Sheet1"/>
      <sheetName val="Sheet2"/>
      <sheetName val="Sheet3"/>
      <sheetName val="Sheet4"/>
      <sheetName val="Sheet5"/>
      <sheetName val="Sheet6"/>
      <sheetName val="Sheet8"/>
      <sheetName val="Sheet9"/>
      <sheetName val="Sheet10"/>
    </sheetNames>
    <sheetDataSet>
      <sheetData sheetId="0" refreshError="1"/>
      <sheetData sheetId="1" refreshError="1"/>
      <sheetData sheetId="2" refreshError="1"/>
      <sheetData sheetId="3" refreshError="1">
        <row r="2">
          <cell r="A2">
            <v>1501</v>
          </cell>
          <cell r="B2" t="str">
            <v>kevinj@squire.com;kjjson@hotmail.com</v>
          </cell>
        </row>
        <row r="3">
          <cell r="A3">
            <v>1503</v>
          </cell>
          <cell r="B3" t="str">
            <v>kevinj@squire.com;kjjson@hotmail.com</v>
          </cell>
        </row>
        <row r="4">
          <cell r="A4">
            <v>1505</v>
          </cell>
          <cell r="B4" t="str">
            <v>kevinj@squire.com;kjjson@hotmail.com</v>
          </cell>
        </row>
        <row r="5">
          <cell r="A5">
            <v>1800</v>
          </cell>
          <cell r="B5" t="str">
            <v>kevinj@squire.com;kjjson@hotmail.com</v>
          </cell>
        </row>
        <row r="6">
          <cell r="A6">
            <v>2000</v>
          </cell>
          <cell r="B6" t="str">
            <v>kevinj@squire.com;kjjson@hotmail.com</v>
          </cell>
        </row>
        <row r="7">
          <cell r="A7">
            <v>2010</v>
          </cell>
          <cell r="B7" t="str">
            <v>kevinj@squire.com;kjjson@hotmail.com</v>
          </cell>
        </row>
        <row r="8">
          <cell r="A8">
            <v>2020</v>
          </cell>
          <cell r="B8" t="str">
            <v>kevinj@squire.com;kjjson@hotmail.com</v>
          </cell>
        </row>
        <row r="9">
          <cell r="A9">
            <v>2030</v>
          </cell>
          <cell r="B9" t="str">
            <v>kevinj@squire.com;kjjson@hotmail.com</v>
          </cell>
        </row>
        <row r="10">
          <cell r="A10">
            <v>2040</v>
          </cell>
          <cell r="B10" t="str">
            <v>kevinj@squire.com;kjjson@hotmail.com</v>
          </cell>
        </row>
        <row r="11">
          <cell r="A11">
            <v>2510</v>
          </cell>
          <cell r="B11" t="str">
            <v>kevinj@squire.com;kjjson@hotmail.com</v>
          </cell>
        </row>
        <row r="12">
          <cell r="A12">
            <v>2511</v>
          </cell>
          <cell r="B12" t="str">
            <v>kevinj@squire.com;kjjson@hotmail.com</v>
          </cell>
        </row>
        <row r="13">
          <cell r="A13">
            <v>2520</v>
          </cell>
          <cell r="B13" t="str">
            <v>kevinj@squire.com;kjjson@hotmail.com</v>
          </cell>
        </row>
        <row r="14">
          <cell r="A14">
            <v>2531</v>
          </cell>
          <cell r="B14" t="str">
            <v>kevinj@squire.com;kjjson@hotmail.com</v>
          </cell>
        </row>
        <row r="15">
          <cell r="A15">
            <v>2550</v>
          </cell>
          <cell r="B15" t="str">
            <v>kevinj@squire.com;kjjson@hotmail.com</v>
          </cell>
        </row>
        <row r="16">
          <cell r="A16">
            <v>3010</v>
          </cell>
          <cell r="B16" t="str">
            <v>kevinj@squire.com;kjjson@hotmail.com</v>
          </cell>
        </row>
        <row r="17">
          <cell r="A17">
            <v>3020</v>
          </cell>
          <cell r="B17" t="str">
            <v>kevinj@squire.com;kjjson@hotmail.com</v>
          </cell>
        </row>
        <row r="18">
          <cell r="A18">
            <v>3500</v>
          </cell>
          <cell r="B18" t="str">
            <v>kevinj@squire.com;kjjson@hotmail.com</v>
          </cell>
        </row>
        <row r="19">
          <cell r="A19">
            <v>4010</v>
          </cell>
          <cell r="B19" t="str">
            <v>kevinj@squire.com;kjjson@hotmail.com</v>
          </cell>
        </row>
        <row r="20">
          <cell r="A20">
            <v>4011</v>
          </cell>
          <cell r="B20" t="str">
            <v>kevinj@squire.com;kjjson@hotmail.com</v>
          </cell>
        </row>
        <row r="21">
          <cell r="A21">
            <v>4012</v>
          </cell>
          <cell r="B21" t="str">
            <v>kevinj@squire.com;kjjson@hotmail.com</v>
          </cell>
        </row>
        <row r="22">
          <cell r="A22">
            <v>4020</v>
          </cell>
          <cell r="B22" t="str">
            <v>kevinj@squire.com;kjjson@hotmail.com</v>
          </cell>
        </row>
        <row r="23">
          <cell r="A23">
            <v>4300</v>
          </cell>
          <cell r="B23" t="str">
            <v>kevinj@squire.com;kjjson@hotmail.com</v>
          </cell>
        </row>
        <row r="24">
          <cell r="A24">
            <v>5020</v>
          </cell>
          <cell r="B24" t="str">
            <v>kevinj@squire.com;kjjson@hotmail.com</v>
          </cell>
        </row>
        <row r="25">
          <cell r="A25">
            <v>5021</v>
          </cell>
          <cell r="B25" t="str">
            <v>kevinj@squire.com;kjjson@hotmail.com</v>
          </cell>
        </row>
        <row r="26">
          <cell r="A26">
            <v>5022</v>
          </cell>
          <cell r="B26" t="str">
            <v>kevinj@squire.com;kjjson@hotmail.com</v>
          </cell>
        </row>
        <row r="27">
          <cell r="A27">
            <v>5510</v>
          </cell>
          <cell r="B27" t="str">
            <v>kevinj@squire.com;kjjson@hotmail.com</v>
          </cell>
        </row>
        <row r="28">
          <cell r="A28">
            <v>5530</v>
          </cell>
          <cell r="B28" t="str">
            <v>kevinj@squire.com;kjjson@hotmail.com</v>
          </cell>
        </row>
        <row r="29">
          <cell r="A29">
            <v>5531</v>
          </cell>
          <cell r="B29" t="str">
            <v>kevinj@squire.com;kjjson@hotmail.com</v>
          </cell>
        </row>
        <row r="30">
          <cell r="A30">
            <v>5540</v>
          </cell>
          <cell r="B30" t="str">
            <v>kevinj@squire.com;kjjson@hotmail.com</v>
          </cell>
        </row>
        <row r="31">
          <cell r="A31">
            <v>5700</v>
          </cell>
          <cell r="B31" t="str">
            <v>kevinj@squire.com;kjjson@hotmail.com</v>
          </cell>
        </row>
        <row r="32">
          <cell r="A32">
            <v>5710</v>
          </cell>
          <cell r="B32" t="str">
            <v>kevinj@squire.com;kjjson@hotmail.com</v>
          </cell>
        </row>
        <row r="33">
          <cell r="A33">
            <v>6000</v>
          </cell>
          <cell r="B33" t="str">
            <v>kevinj@squire.com;kjjson@hotmail.com</v>
          </cell>
        </row>
        <row r="34">
          <cell r="A34">
            <v>6010</v>
          </cell>
          <cell r="B34" t="str">
            <v>kevinj@squire.com;kjjson@hotmail.com</v>
          </cell>
        </row>
        <row r="35">
          <cell r="A35">
            <v>6015</v>
          </cell>
          <cell r="B35" t="str">
            <v>kevinj@squire.com;kjjson@hotmail.com</v>
          </cell>
        </row>
        <row r="36">
          <cell r="A36">
            <v>6020</v>
          </cell>
          <cell r="B36" t="str">
            <v>kevinj@squire.com;kjjson@hotmail.com</v>
          </cell>
        </row>
        <row r="37">
          <cell r="A37">
            <v>6030</v>
          </cell>
          <cell r="B37" t="str">
            <v>kevinj@squire.com;kjjson@hotmail.com</v>
          </cell>
        </row>
        <row r="38">
          <cell r="A38">
            <v>6040</v>
          </cell>
          <cell r="B38" t="str">
            <v>kevinj@squire.com;kjjson@hotmail.com</v>
          </cell>
        </row>
        <row r="39">
          <cell r="A39">
            <v>6060</v>
          </cell>
          <cell r="B39" t="str">
            <v>kevinj@squire.com;kjjson@hotmail.com</v>
          </cell>
        </row>
        <row r="40">
          <cell r="A40">
            <v>6070</v>
          </cell>
          <cell r="B40" t="str">
            <v>kevinj@squire.com;kjjson@hotmail.com</v>
          </cell>
        </row>
        <row r="41">
          <cell r="A41">
            <v>6082</v>
          </cell>
          <cell r="B41" t="str">
            <v>kevinj@squire.com;kjjson@hotmail.com</v>
          </cell>
        </row>
        <row r="42">
          <cell r="A42">
            <v>6083</v>
          </cell>
          <cell r="B42" t="str">
            <v>kevinj@squire.com;kjjson@hotmail.com</v>
          </cell>
        </row>
        <row r="43">
          <cell r="A43">
            <v>6090</v>
          </cell>
          <cell r="B43" t="str">
            <v>kevinj@squire.com;kjjson@hotmail.com</v>
          </cell>
        </row>
        <row r="44">
          <cell r="A44">
            <v>6102</v>
          </cell>
          <cell r="B44" t="str">
            <v>kevinj@squire.com;kjjson@hotmail.com</v>
          </cell>
        </row>
        <row r="45">
          <cell r="A45">
            <v>6105</v>
          </cell>
          <cell r="B45" t="str">
            <v>kevinj@squire.com;kjjson@hotmail.com</v>
          </cell>
        </row>
        <row r="46">
          <cell r="A46">
            <v>6401</v>
          </cell>
          <cell r="B46" t="str">
            <v>kevinj@squire.com;kjjson@hotmail.com</v>
          </cell>
        </row>
        <row r="47">
          <cell r="A47">
            <v>6500</v>
          </cell>
          <cell r="B47" t="str">
            <v>kevinj@squire.com;kjjson@hotmail.com</v>
          </cell>
        </row>
        <row r="48">
          <cell r="A48">
            <v>6502</v>
          </cell>
          <cell r="B48" t="str">
            <v>kevinj@squire.com;kjjson@hotmail.com</v>
          </cell>
        </row>
        <row r="49">
          <cell r="A49">
            <v>6503</v>
          </cell>
          <cell r="B49" t="str">
            <v>kevinj@squire.com;kjjson@hotmail.com</v>
          </cell>
        </row>
        <row r="50">
          <cell r="A50">
            <v>6504</v>
          </cell>
          <cell r="B50" t="str">
            <v>kevinj@squire.com;kjjson@hotmail.com</v>
          </cell>
        </row>
        <row r="51">
          <cell r="A51">
            <v>6505</v>
          </cell>
          <cell r="B51" t="str">
            <v>kevinj@squire.com;kjjson@hotmail.com</v>
          </cell>
        </row>
        <row r="52">
          <cell r="A52">
            <v>6506</v>
          </cell>
          <cell r="B52" t="str">
            <v>kevinj@squire.com;kjjson@hotmail.com</v>
          </cell>
        </row>
        <row r="53">
          <cell r="A53">
            <v>6507</v>
          </cell>
          <cell r="B53" t="str">
            <v>kevinj@squire.com;kjjson@hotmail.com</v>
          </cell>
        </row>
        <row r="54">
          <cell r="A54">
            <v>6508</v>
          </cell>
          <cell r="B54" t="str">
            <v>kevinj@squire.com;kjjson@hotmail.com</v>
          </cell>
        </row>
        <row r="55">
          <cell r="A55">
            <v>6515</v>
          </cell>
          <cell r="B55" t="str">
            <v>kevinj@squire.com;kjjson@hotmail.com</v>
          </cell>
        </row>
        <row r="56">
          <cell r="A56">
            <v>6514</v>
          </cell>
          <cell r="B56" t="str">
            <v>kevinj@squire.com;kjjson@hotmail.com</v>
          </cell>
        </row>
        <row r="57">
          <cell r="A57">
            <v>6520</v>
          </cell>
          <cell r="B57" t="str">
            <v>kevinj@squire.com;kjjson@hotmail.com</v>
          </cell>
        </row>
        <row r="58">
          <cell r="A58">
            <v>7010</v>
          </cell>
          <cell r="B58" t="str">
            <v>kevinj@squire.com;kjjson@hotmail.com</v>
          </cell>
        </row>
        <row r="59">
          <cell r="A59">
            <v>7020</v>
          </cell>
          <cell r="B59" t="str">
            <v>kevinj@squire.com;kjjson@hotmail.com</v>
          </cell>
        </row>
        <row r="60">
          <cell r="A60">
            <v>7021</v>
          </cell>
          <cell r="B60" t="str">
            <v>kevinj@squire.com;kjjson@hotmail.com</v>
          </cell>
        </row>
        <row r="61">
          <cell r="A61">
            <v>7022</v>
          </cell>
          <cell r="B61" t="str">
            <v>kevinj@squire.com;kjjson@hotmail.com</v>
          </cell>
        </row>
        <row r="62">
          <cell r="A62">
            <v>7111</v>
          </cell>
          <cell r="B62" t="str">
            <v>kevinj@squire.com;kjjson@hotmail.com</v>
          </cell>
        </row>
        <row r="63">
          <cell r="A63">
            <v>7150</v>
          </cell>
          <cell r="B63" t="str">
            <v>kevinj@squire.com;kjjson@hotmail.com</v>
          </cell>
        </row>
        <row r="64">
          <cell r="A64">
            <v>7170</v>
          </cell>
          <cell r="B64" t="str">
            <v>kevinj@squire.com;kjjson@hotmail.com</v>
          </cell>
        </row>
        <row r="65">
          <cell r="A65">
            <v>7500</v>
          </cell>
          <cell r="B65" t="str">
            <v>kevinj@squire.com;kjjson@hotmail.com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Email"/>
      <sheetName val="Summary"/>
      <sheetName val="Sheet1"/>
      <sheetName val="Sheet2"/>
      <sheetName val="Sheet3"/>
      <sheetName val="Sheet4"/>
      <sheetName val="Sheet5"/>
      <sheetName val="Sheet6"/>
    </sheetNames>
    <sheetDataSet>
      <sheetData sheetId="0">
        <row r="7">
          <cell r="D7" t="str">
            <v>..9/30/2020</v>
          </cell>
        </row>
        <row r="8">
          <cell r="D8" t="str">
            <v>3420 FIA 54 UT 2025 5101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Email"/>
      <sheetName val="Summary"/>
      <sheetName val="Detail"/>
      <sheetName val="Sheet1"/>
      <sheetName val="Sheet2"/>
      <sheetName val="Sheet3"/>
      <sheetName val="Sheet4"/>
      <sheetName val="Sheet5"/>
      <sheetName val="Sheet6"/>
    </sheetNames>
    <sheetDataSet>
      <sheetData sheetId="0">
        <row r="7">
          <cell r="D7" t="str">
            <v>..9/30/2020</v>
          </cell>
        </row>
        <row r="8">
          <cell r="D8" t="str">
            <v>3440 FY2025 TITLE 1 URHS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3"/>
  <sheetViews>
    <sheetView topLeftCell="H5" workbookViewId="0">
      <selection activeCell="I16" sqref="I16"/>
    </sheetView>
  </sheetViews>
  <sheetFormatPr defaultRowHeight="15" x14ac:dyDescent="0.25"/>
  <cols>
    <col min="1" max="1" width="18.42578125" style="1" hidden="1" customWidth="1"/>
    <col min="2" max="2" width="17.85546875" style="1" hidden="1" customWidth="1"/>
    <col min="3" max="5" width="17.7109375" style="1" hidden="1" customWidth="1"/>
    <col min="6" max="6" width="9.140625" style="1" hidden="1" customWidth="1"/>
    <col min="7" max="7" width="11.140625" style="1" hidden="1" customWidth="1"/>
    <col min="8" max="8" width="2.140625" style="6" customWidth="1"/>
    <col min="9" max="9" width="15.85546875" bestFit="1" customWidth="1"/>
    <col min="10" max="10" width="40.7109375" bestFit="1" customWidth="1"/>
    <col min="11" max="11" width="22.5703125" hidden="1" customWidth="1"/>
    <col min="12" max="12" width="16.42578125" bestFit="1" customWidth="1"/>
    <col min="13" max="13" width="11.42578125" bestFit="1" customWidth="1"/>
    <col min="14" max="14" width="46" bestFit="1" customWidth="1"/>
    <col min="15" max="15" width="22" bestFit="1" customWidth="1"/>
    <col min="16" max="17" width="31.5703125" bestFit="1" customWidth="1"/>
    <col min="18" max="18" width="13.42578125" bestFit="1" customWidth="1"/>
    <col min="19" max="19" width="14.140625" bestFit="1" customWidth="1"/>
    <col min="20" max="20" width="10.5703125" bestFit="1" customWidth="1"/>
  </cols>
  <sheetData>
    <row r="1" spans="1:20" s="1" customFormat="1" hidden="1" x14ac:dyDescent="0.25">
      <c r="A1" s="1" t="s">
        <v>0</v>
      </c>
      <c r="B1" s="2" t="s">
        <v>1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/>
      <c r="I1" s="1" t="s">
        <v>2</v>
      </c>
      <c r="J1" s="1" t="s">
        <v>2</v>
      </c>
      <c r="K1" s="1" t="s">
        <v>1</v>
      </c>
      <c r="L1" s="1" t="s">
        <v>2</v>
      </c>
      <c r="M1" s="1" t="s">
        <v>2</v>
      </c>
      <c r="N1" s="1" t="s">
        <v>2</v>
      </c>
      <c r="O1" s="1" t="s">
        <v>2</v>
      </c>
      <c r="P1" s="1" t="s">
        <v>2</v>
      </c>
      <c r="Q1" s="1" t="s">
        <v>2</v>
      </c>
      <c r="R1" s="1" t="s">
        <v>2</v>
      </c>
      <c r="S1" s="1" t="s">
        <v>2</v>
      </c>
      <c r="T1" s="1" t="s">
        <v>2</v>
      </c>
    </row>
    <row r="2" spans="1:20" s="1" customFormat="1" hidden="1" x14ac:dyDescent="0.25">
      <c r="A2" s="1" t="s">
        <v>1</v>
      </c>
      <c r="B2" s="1" t="s">
        <v>3</v>
      </c>
      <c r="C2" s="3">
        <f ca="1">DATE(IF(MONTH('[3]5021 (2)'!E4)&gt;=10,YEAR(TODAY()),YEAR(TODAY())-1),10,1)</f>
        <v>45566</v>
      </c>
      <c r="D2" s="4"/>
      <c r="E2" s="4"/>
      <c r="F2" s="4"/>
      <c r="G2" s="4"/>
      <c r="H2" s="4"/>
    </row>
    <row r="3" spans="1:20" s="1" customFormat="1" hidden="1" x14ac:dyDescent="0.25">
      <c r="A3" s="1" t="s">
        <v>1</v>
      </c>
      <c r="B3" s="1" t="s">
        <v>4</v>
      </c>
      <c r="C3" s="4">
        <f ca="1">EOMONTH(C2,11)</f>
        <v>45930</v>
      </c>
      <c r="D3" s="4"/>
      <c r="E3" s="4"/>
      <c r="F3" s="4"/>
      <c r="G3" s="4"/>
      <c r="H3" s="4"/>
    </row>
    <row r="4" spans="1:20" s="1" customFormat="1" hidden="1" x14ac:dyDescent="0.25">
      <c r="A4" s="2" t="s">
        <v>1</v>
      </c>
      <c r="B4" s="1" t="s">
        <v>5</v>
      </c>
      <c r="C4" s="5" t="str">
        <f>"10/1/2024..9/30/2025"</f>
        <v>10/1/2024..9/30/2025</v>
      </c>
      <c r="D4" s="5"/>
      <c r="E4" s="5"/>
      <c r="F4" s="5"/>
      <c r="G4" s="5"/>
      <c r="H4" s="5"/>
    </row>
    <row r="5" spans="1:20" x14ac:dyDescent="0.25">
      <c r="B5" s="1" t="s">
        <v>6</v>
      </c>
      <c r="C5" s="5" t="str">
        <f>"5021"</f>
        <v>5021</v>
      </c>
      <c r="D5" s="5" t="e">
        <f>VLOOKUP(C5,[5]Sheet7!$A$2:$B$7000,2,FALSE)</f>
        <v>#N/A</v>
      </c>
      <c r="E5" s="5"/>
    </row>
    <row r="6" spans="1:20" ht="23.25" x14ac:dyDescent="0.35">
      <c r="B6" s="1" t="s">
        <v>7</v>
      </c>
      <c r="C6" s="5" t="s">
        <v>8</v>
      </c>
      <c r="D6" s="5"/>
      <c r="E6" s="5"/>
      <c r="I6" s="49" t="s">
        <v>26</v>
      </c>
      <c r="J6" s="49"/>
      <c r="K6" s="49"/>
      <c r="L6" s="49"/>
      <c r="M6" s="49"/>
      <c r="N6" s="49"/>
      <c r="O6" s="49"/>
    </row>
    <row r="7" spans="1:20" x14ac:dyDescent="0.25">
      <c r="B7" s="1" t="s">
        <v>9</v>
      </c>
      <c r="C7" s="7" t="str">
        <f>"0000|9050"</f>
        <v>0000|9050</v>
      </c>
      <c r="D7" s="5"/>
      <c r="E7" s="5"/>
      <c r="I7" s="51" t="str">
        <f ca="1">"For the Period of "&amp;TEXT($C$2,"MMMM D, YYYY")&amp;" through "&amp;TEXT($C$3,"MMMM D, YYYY")</f>
        <v>For the Period of October 1, 2024 through September 30, 2025</v>
      </c>
      <c r="J7" s="51"/>
      <c r="K7" s="51"/>
      <c r="L7" s="51"/>
      <c r="M7" s="51"/>
    </row>
    <row r="8" spans="1:20" x14ac:dyDescent="0.25">
      <c r="B8" s="1" t="s">
        <v>10</v>
      </c>
      <c r="C8" s="7" t="str">
        <f ca="1">YEAR($C$2)&amp;"/0"</f>
        <v>2024/0</v>
      </c>
      <c r="D8" s="5"/>
      <c r="E8" s="5"/>
    </row>
    <row r="9" spans="1:20" x14ac:dyDescent="0.25">
      <c r="B9" s="1" t="s">
        <v>11</v>
      </c>
      <c r="C9" s="1" t="str">
        <f>"||""Filter"",""Jet GL Transactions"",""Account Number"",""Segment 1"",""5021"",""Segment 2"",""*"",""Segment 4"",""0000|9050"""</f>
        <v>||"Filter","Jet GL Transactions","Account Number","Segment 1","5021","Segment 2","*","Segment 4","0000|9050"</v>
      </c>
      <c r="D9" s="7"/>
      <c r="E9" s="7"/>
      <c r="I9" t="str">
        <f>B5</f>
        <v>Department</v>
      </c>
      <c r="J9" s="8" t="str">
        <f>"5021   Uinta River High School"</f>
        <v>5021   Uinta River High School</v>
      </c>
      <c r="K9" s="9"/>
      <c r="L9" s="8"/>
    </row>
    <row r="10" spans="1:20" hidden="1" x14ac:dyDescent="0.25">
      <c r="A10" s="2" t="s">
        <v>1</v>
      </c>
      <c r="B10" s="1" t="str">
        <f>"3500"</f>
        <v>3500</v>
      </c>
      <c r="I10" t="str">
        <f>B6</f>
        <v>Location</v>
      </c>
      <c r="J10" s="8" t="str">
        <f>""</f>
        <v/>
      </c>
      <c r="L10" s="10"/>
    </row>
    <row r="11" spans="1:20" hidden="1" x14ac:dyDescent="0.25">
      <c r="A11" s="2" t="s">
        <v>1</v>
      </c>
      <c r="I11" t="str">
        <f>B7</f>
        <v>Company</v>
      </c>
      <c r="J11" s="8" t="str">
        <f>"0000|9050   "</f>
        <v xml:space="preserve">0000|9050   </v>
      </c>
      <c r="R11" s="11" t="s">
        <v>12</v>
      </c>
      <c r="S11" s="12">
        <v>45886</v>
      </c>
    </row>
    <row r="14" spans="1:20" x14ac:dyDescent="0.25">
      <c r="I14" s="13" t="s">
        <v>13</v>
      </c>
      <c r="J14" s="13" t="s">
        <v>14</v>
      </c>
      <c r="K14" s="13"/>
      <c r="L14" s="13" t="s">
        <v>15</v>
      </c>
      <c r="M14" s="13" t="s">
        <v>16</v>
      </c>
      <c r="N14" s="13" t="s">
        <v>17</v>
      </c>
      <c r="O14" s="13" t="s">
        <v>18</v>
      </c>
      <c r="P14" s="13" t="s">
        <v>19</v>
      </c>
      <c r="Q14" s="13" t="s">
        <v>20</v>
      </c>
      <c r="R14" s="13" t="s">
        <v>21</v>
      </c>
      <c r="S14" s="13" t="s">
        <v>22</v>
      </c>
      <c r="T14" s="13" t="s">
        <v>23</v>
      </c>
    </row>
    <row r="16" spans="1:20" x14ac:dyDescent="0.25">
      <c r="A16" s="1" t="s">
        <v>24</v>
      </c>
      <c r="D16" s="1" t="str">
        <f>"||""Filter"",""Jet GL Transactions"",""Account Number"",""Transaction Date"",""10/1/2024..9/30/2025"",""Account Number"",""||""""Filter"""",""""Jet GL Transactions"""",""""Account Number"""",""""Segment 1"""",""""5021"""",""""Segment 2"""",""""*"""",""""Segment 4"""",""""0000|9050"""""""</f>
        <v>||"Filter","Jet GL Transactions","Account Number","Transaction Date","10/1/2024..9/30/2025","Account Number","||""Filter"",""Jet GL Transactions"",""Account Number"",""Segment 1"",""5021"",""Segment 2"",""*"",""Segment 4"",""0000|9050"""</v>
      </c>
      <c r="F16" s="1" t="str">
        <f>"5021-0-6100-0000"</f>
        <v>5021-0-6100-0000</v>
      </c>
      <c r="G16" s="1" t="str">
        <f>"5021-0-6100-0000"</f>
        <v>5021-0-6100-0000</v>
      </c>
      <c r="I16" s="14" t="str">
        <f>G16</f>
        <v>5021-0-6100-0000</v>
      </c>
      <c r="J16" s="14" t="str">
        <f>"Salaries and Wages"</f>
        <v>Salaries and Wages</v>
      </c>
      <c r="Q16" s="14"/>
      <c r="R16" s="15"/>
    </row>
    <row r="17" spans="1:20" x14ac:dyDescent="0.25">
      <c r="A17" s="1" t="s">
        <v>24</v>
      </c>
      <c r="B17" s="16"/>
      <c r="C17" s="16"/>
      <c r="F17" s="16" t="e">
        <f>#REF!</f>
        <v>#REF!</v>
      </c>
      <c r="G17" s="16" t="e">
        <f>#REF!</f>
        <v>#REF!</v>
      </c>
      <c r="H17" s="17"/>
      <c r="K17" t="str">
        <f>"""GP"",""Ute Indian Tribe Membership Fund"",""Jet GL Transactions"",""Account Category Description"",""Salaries Expense"",""Account Category Number"",""36"",""Account Description"",""Salaries and Wages"",""Account Index"",""2199"",""Account Number"",""5021-0-6100-0000"",""Credit Am"&amp;"ount"",""0.00000"",""Debit Amount"",""1321.60000"",""Document Date"",""1/1/1900"",""Document Number"",""DD000000000000144748"",""Document Sequence"",""147456"",""Period ID"",""10"",""Posting Type"",""Profit and Loss"",""Reference"",""Payroll Computer Checks"",""Row ID"",""5436759"",""Segmen"&amp;"t 1"",""5021"",""Segment 1 Description"",""Uinta River High School"",""Segment 10"","""",""Segment 10 Description"","""",""Segment 2"",""0"",""Segment 2 Description"","""",""Segment 3"",""6100"",""Segment 3 Description"","""",""Segment 4"",""0000"",""Segment 4 Description"","""",""Segment 5"","""""&amp;",""Segment 5 Description"","""",""Segment 6"","""",""Segment 6 Description"","""",""Segment 7"","""",""Segment 7 Description"","""",""Segment 8"","""",""Segment 8 Description"","""",""Segment 9"","""",""Segment 9 Description"","""",""Transaction Amount"",""1321.60000"",""Transaction Date"",""7/2/2"&amp;"025"",""Transaction Description"","""",""Vendor Name"",""THACKER, STEPHANIE"",""Vendor Number"",""928"",""Journal Entry"",""1612752"""</f>
        <v>"GP","Ute Indian Tribe Membership Fund","Jet GL Transactions","Account Category Description","Salaries Expense","Account Category Number","36","Account Description","Salaries and Wages","Account Index","2199","Account Number","5021-0-6100-0000","Credit Amount","0.00000","Debit Amount","1321.60000","Document Date","1/1/1900","Document Number","DD000000000000144748","Document Sequence","147456","Period ID","10","Posting Type","Profit and Loss","Reference","Payroll Computer Checks","Row ID","5436759","Segment 1","5021","Segment 1 Description","Uinta River High School","Segment 10","","Segment 10 Description","","Segment 2","0","Segment 2 Description","","Segment 3","6100","Segment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Amount","1321.60000","Transaction Date","7/2/2025","Transaction Description","","Vendor Name","THACKER, STEPHANIE","Vendor Number","928","Journal Entry","1612752"</v>
      </c>
      <c r="L17" s="18">
        <v>45840</v>
      </c>
      <c r="M17">
        <v>1612752</v>
      </c>
      <c r="N17" t="str">
        <f t="shared" ref="N17:N21" si="0">"Payroll Check"</f>
        <v>Payroll Check</v>
      </c>
      <c r="O17" t="str">
        <f>"DD000000000000144748"</f>
        <v>DD000000000000144748</v>
      </c>
      <c r="P17" t="str">
        <f t="shared" ref="P17:P21" si="1">"Payroll Computer Checks"</f>
        <v>Payroll Computer Checks</v>
      </c>
      <c r="Q17" s="19" t="str">
        <f>""</f>
        <v/>
      </c>
      <c r="R17" s="20">
        <v>1321.6</v>
      </c>
      <c r="S17" s="20">
        <v>0</v>
      </c>
      <c r="T17" s="21">
        <f t="shared" ref="T17:T21" si="2">SUM(R17:S17)</f>
        <v>1321.6</v>
      </c>
    </row>
    <row r="18" spans="1:20" x14ac:dyDescent="0.25">
      <c r="A18" s="1" t="s">
        <v>24</v>
      </c>
      <c r="B18" s="16"/>
      <c r="C18" s="16"/>
      <c r="F18" s="16" t="e">
        <f t="shared" ref="F18:G21" si="3">F17</f>
        <v>#REF!</v>
      </c>
      <c r="G18" s="16" t="e">
        <f t="shared" si="3"/>
        <v>#REF!</v>
      </c>
      <c r="H18" s="17"/>
      <c r="K18" t="str">
        <f>"""GP"",""Ute Indian Tribe Membership Fund"",""Jet GL Transactions"",""Account Category Description"",""Salaries Expense"",""Account Category Number"",""36"",""Account Description"",""Salaries and Wages"",""Account Index"",""2199"",""Account Number"",""5021-0-6100-0000"",""Credit Am"&amp;"ount"",""0.00000"",""Debit Amount"",""180.00000"",""Document Date"",""1/1/1900"",""Document Number"",""000000112942"",""Document Sequence"",""131072"",""Period ID"",""10"",""Posting Type"",""Profit and Loss"",""Reference"",""Payroll Computer Checks"",""Row ID"",""5442414"",""Segment 1"",""502"&amp;"1"",""Segment 1 Description"",""Uinta River High School"",""Segment 10"","""",""Segment 10 Description"","""",""Segment 2"",""0"",""Segment 2 Description"","""",""Segment 3"",""6100"",""Segment 3 Description"","""",""Segment 4"",""0000"",""Segment 4 Description"","""",""Segment 5"","""",""Segment"&amp;" 5 Description"","""",""Segment 6"","""",""Segment 6 Description"","""",""Segment 7"","""",""Segment 7 Description"","""",""Segment 8"","""",""Segment 8 Description"","""",""Segment 9"","""",""Segment 9 Description"","""",""Transaction Amount"",""180.00000"",""Transaction Date"",""7/17/2025"",""Tra"&amp;"nsaction Description"","""",""Vendor Name"",""LAUB, REBECCA"",""Vendor Number"",""2772"",""Journal Entry"",""1614996"""</f>
        <v>"GP","Ute Indian Tribe Membership Fund","Jet GL Transactions","Account Category Description","Salaries Expense","Account Category Number","36","Account Description","Salaries and Wages","Account Index","2199","Account Number","5021-0-6100-0000","Credit Amount","0.00000","Debit Amount","180.00000","Document Date","1/1/1900","Document Number","000000112942","Document Sequence","131072","Period ID","10","Posting Type","Profit and Loss","Reference","Payroll Computer Checks","Row ID","5442414","Segment 1","5021","Segment 1 Description","Uinta River High School","Segment 10","","Segment 10 Description","","Segment 2","0","Segment 2 Description","","Segment 3","6100","Segment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Amount","180.00000","Transaction Date","7/17/2025","Transaction Description","","Vendor Name","LAUB, REBECCA","Vendor Number","2772","Journal Entry","1614996"</v>
      </c>
      <c r="L18" s="18">
        <v>45855</v>
      </c>
      <c r="M18">
        <v>1614996</v>
      </c>
      <c r="N18" t="str">
        <f t="shared" si="0"/>
        <v>Payroll Check</v>
      </c>
      <c r="O18" t="str">
        <f>"000000112942"</f>
        <v>000000112942</v>
      </c>
      <c r="P18" t="str">
        <f t="shared" si="1"/>
        <v>Payroll Computer Checks</v>
      </c>
      <c r="Q18" s="19" t="str">
        <f>""</f>
        <v/>
      </c>
      <c r="R18" s="20">
        <v>180</v>
      </c>
      <c r="S18" s="20">
        <v>0</v>
      </c>
      <c r="T18" s="21">
        <f t="shared" si="2"/>
        <v>180</v>
      </c>
    </row>
    <row r="19" spans="1:20" x14ac:dyDescent="0.25">
      <c r="A19" s="1" t="s">
        <v>24</v>
      </c>
      <c r="B19" s="16"/>
      <c r="C19" s="16"/>
      <c r="F19" s="16" t="e">
        <f t="shared" si="3"/>
        <v>#REF!</v>
      </c>
      <c r="G19" s="16" t="e">
        <f t="shared" si="3"/>
        <v>#REF!</v>
      </c>
      <c r="H19" s="17"/>
      <c r="K19" t="str">
        <f>"""GP"",""Ute Indian Tribe Membership Fund"",""Jet GL Transactions"",""Account Category Description"",""Salaries Expense"",""Account Category Number"",""36"",""Account Description"",""Salaries and Wages"",""Account Index"",""2199"",""Account Number"",""5021-0-6100-0000"",""Credit Am"&amp;"ount"",""0.00000"",""Debit Amount"",""226.99000"",""Document Date"",""1/1/1900"",""Document Number"",""DD000000000000145291"",""Document Sequence"",""163840"",""Period ID"",""10"",""Posting Type"",""Profit and Loss"",""Reference"",""Payroll Computer Checks"",""Row ID"",""5445053"",""Segment"&amp;" 1"",""5021"",""Segment 1 Description"",""Uinta River High School"",""Segment 10"","""",""Segment 10 Description"","""",""Segment 2"",""0"",""Segment 2 Description"","""",""Segment 3"",""6100"",""Segment 3 Description"","""",""Segment 4"",""0000"",""Segment 4 Description"","""",""Segment 5"","""","&amp;"""Segment 5 Description"","""",""Segment 6"","""",""Segment 6 Description"","""",""Segment 7"","""",""Segment 7 Description"","""",""Segment 8"","""",""Segment 8 Description"","""",""Segment 9"","""",""Segment 9 Description"","""",""Transaction Amount"",""226.99000"",""Transaction Date"",""7/17/20"&amp;"25"",""Transaction Description"","""",""Vendor Name"",""ESPLIN, TAMMIE A."",""Vendor Number"",""927"",""Journal Entry"",""1615158"""</f>
        <v>"GP","Ute Indian Tribe Membership Fund","Jet GL Transactions","Account Category Description","Salaries Expense","Account Category Number","36","Account Description","Salaries and Wages","Account Index","2199","Account Number","5021-0-6100-0000","Credit Amount","0.00000","Debit Amount","226.99000","Document Date","1/1/1900","Document Number","DD000000000000145291","Document Sequence","163840","Period ID","10","Posting Type","Profit and Loss","Reference","Payroll Computer Checks","Row ID","5445053","Segment 1","5021","Segment 1 Description","Uinta River High School","Segment 10","","Segment 10 Description","","Segment 2","0","Segment 2 Description","","Segment 3","6100","Segment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Amount","226.99000","Transaction Date","7/17/2025","Transaction Description","","Vendor Name","ESPLIN, TAMMIE A.","Vendor Number","927","Journal Entry","1615158"</v>
      </c>
      <c r="L19" s="18">
        <v>45855</v>
      </c>
      <c r="M19">
        <v>1615158</v>
      </c>
      <c r="N19" t="str">
        <f t="shared" si="0"/>
        <v>Payroll Check</v>
      </c>
      <c r="O19" t="str">
        <f>"DD000000000000145291"</f>
        <v>DD000000000000145291</v>
      </c>
      <c r="P19" t="str">
        <f t="shared" si="1"/>
        <v>Payroll Computer Checks</v>
      </c>
      <c r="Q19" s="19" t="str">
        <f>""</f>
        <v/>
      </c>
      <c r="R19" s="20">
        <v>226.99</v>
      </c>
      <c r="S19" s="20">
        <v>0</v>
      </c>
      <c r="T19" s="21">
        <f t="shared" si="2"/>
        <v>226.99</v>
      </c>
    </row>
    <row r="20" spans="1:20" x14ac:dyDescent="0.25">
      <c r="A20" s="1" t="s">
        <v>24</v>
      </c>
      <c r="B20" s="16"/>
      <c r="C20" s="16"/>
      <c r="F20" s="16" t="e">
        <f t="shared" si="3"/>
        <v>#REF!</v>
      </c>
      <c r="G20" s="16" t="e">
        <f t="shared" si="3"/>
        <v>#REF!</v>
      </c>
      <c r="H20" s="17"/>
      <c r="K20" t="str">
        <f>"""GP"",""Ute Indian Tribe Membership Fund"",""Jet GL Transactions"",""Account Category Description"",""Salaries Expense"",""Account Category Number"",""36"",""Account Description"",""Salaries and Wages"",""Account Index"",""2199"",""Account Number"",""5021-0-6100-0000"",""Credit Am"&amp;"ount"",""0.00000"",""Debit Amount"",""226.99000"",""Document Date"",""1/1/1900"",""Document Number"",""DD000000000000146067"",""Document Sequence"",""163840"",""Period ID"",""11"",""Posting Type"",""Profit and Loss"",""Reference"",""Payroll Computer Checks"",""Row ID"",""5474236"",""Segment"&amp;" 1"",""5021"",""Segment 1 Description"",""Uinta River High School"",""Segment 10"","""",""Segment 10 Description"","""",""Segment 2"",""0"",""Segment 2 Description"","""",""Segment 3"",""6100"",""Segment 3 Description"","""",""Segment 4"",""0000"",""Segment 4 Description"","""",""Segment 5"","""","&amp;"""Segment 5 Description"","""",""Segment 6"","""",""Segment 6 Description"","""",""Segment 7"","""",""Segment 7 Description"","""",""Segment 8"","""",""Segment 8 Description"","""",""Segment 9"","""",""Segment 9 Description"","""",""Transaction Amount"",""226.99000"",""Transaction Date"",""8/14/20"&amp;"25"",""Transaction Description"","""",""Vendor Name"",""ESPLIN, TAMMIE A."",""Vendor Number"",""927"",""Journal Entry"",""1619971"""</f>
        <v>"GP","Ute Indian Tribe Membership Fund","Jet GL Transactions","Account Category Description","Salaries Expense","Account Category Number","36","Account Description","Salaries and Wages","Account Index","2199","Account Number","5021-0-6100-0000","Credit Amount","0.00000","Debit Amount","226.99000","Document Date","1/1/1900","Document Number","DD000000000000146067","Document Sequence","163840","Period ID","11","Posting Type","Profit and Loss","Reference","Payroll Computer Checks","Row ID","5474236","Segment 1","5021","Segment 1 Description","Uinta River High School","Segment 10","","Segment 10 Description","","Segment 2","0","Segment 2 Description","","Segment 3","6100","Segment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Amount","226.99000","Transaction Date","8/14/2025","Transaction Description","","Vendor Name","ESPLIN, TAMMIE A.","Vendor Number","927","Journal Entry","1619971"</v>
      </c>
      <c r="L20" s="18">
        <v>45883</v>
      </c>
      <c r="M20">
        <v>1619971</v>
      </c>
      <c r="N20" t="str">
        <f t="shared" si="0"/>
        <v>Payroll Check</v>
      </c>
      <c r="O20" t="str">
        <f>"DD000000000000146067"</f>
        <v>DD000000000000146067</v>
      </c>
      <c r="P20" t="str">
        <f t="shared" si="1"/>
        <v>Payroll Computer Checks</v>
      </c>
      <c r="Q20" s="19" t="str">
        <f>""</f>
        <v/>
      </c>
      <c r="R20" s="20">
        <v>226.99</v>
      </c>
      <c r="S20" s="20">
        <v>0</v>
      </c>
      <c r="T20" s="21">
        <f t="shared" si="2"/>
        <v>226.99</v>
      </c>
    </row>
    <row r="21" spans="1:20" x14ac:dyDescent="0.25">
      <c r="A21" s="1" t="s">
        <v>24</v>
      </c>
      <c r="B21" s="16"/>
      <c r="C21" s="16"/>
      <c r="F21" s="16" t="e">
        <f t="shared" si="3"/>
        <v>#REF!</v>
      </c>
      <c r="G21" s="16" t="e">
        <f t="shared" si="3"/>
        <v>#REF!</v>
      </c>
      <c r="H21" s="17"/>
      <c r="K21" t="str">
        <f>"""GP"",""Ute Indian Tribe Membership Fund"",""Jet GL Transactions"",""Account Category Description"",""Salaries Expense"",""Account Category Number"",""36"",""Account Description"",""Salaries and Wages"",""Account Index"",""2199"",""Account Number"",""5021-0-6100-0000"",""Credit Am"&amp;"ount"",""0.00000"",""Debit Amount"",""649.74000"",""Document Date"",""1/1/1900"",""Document Number"",""000000113125"",""Document Sequence"",""131072"",""Period ID"",""11"",""Posting Type"",""Profit and Loss"",""Reference"",""Payroll Computer Checks"",""Row ID"",""5471664"",""Segment 1"",""502"&amp;"1"",""Segment 1 Description"",""Uinta River High School"",""Segment 10"","""",""Segment 10 Description"","""",""Segment 2"",""0"",""Segment 2 Description"","""",""Segment 3"",""6100"",""Segment 3 Description"","""",""Segment 4"",""0000"",""Segment 4 Description"","""",""Segment 5"","""",""Segment"&amp;" 5 Description"","""",""Segment 6"","""",""Segment 6 Description"","""",""Segment 7"","""",""Segment 7 Description"","""",""Segment 8"","""",""Segment 8 Description"","""",""Segment 9"","""",""Segment 9 Description"","""",""Transaction Amount"",""649.74000"",""Transaction Date"",""8/14/2025"",""Tra"&amp;"nsaction Description"","""",""Vendor Name"",""LAUB, REBECCA"",""Vendor Number"",""2772"",""Journal Entry"",""1619819"""</f>
        <v>"GP","Ute Indian Tribe Membership Fund","Jet GL Transactions","Account Category Description","Salaries Expense","Account Category Number","36","Account Description","Salaries and Wages","Account Index","2199","Account Number","5021-0-6100-0000","Credit Amount","0.00000","Debit Amount","649.74000","Document Date","1/1/1900","Document Number","000000113125","Document Sequence","131072","Period ID","11","Posting Type","Profit and Loss","Reference","Payroll Computer Checks","Row ID","5471664","Segment 1","5021","Segment 1 Description","Uinta River High School","Segment 10","","Segment 10 Description","","Segment 2","0","Segment 2 Description","","Segment 3","6100","Segment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Amount","649.74000","Transaction Date","8/14/2025","Transaction Description","","Vendor Name","LAUB, REBECCA","Vendor Number","2772","Journal Entry","1619819"</v>
      </c>
      <c r="L21" s="18">
        <v>45883</v>
      </c>
      <c r="M21">
        <v>1619819</v>
      </c>
      <c r="N21" t="str">
        <f t="shared" si="0"/>
        <v>Payroll Check</v>
      </c>
      <c r="O21" t="str">
        <f>"000000113125"</f>
        <v>000000113125</v>
      </c>
      <c r="P21" t="str">
        <f t="shared" si="1"/>
        <v>Payroll Computer Checks</v>
      </c>
      <c r="Q21" s="19" t="str">
        <f>""</f>
        <v/>
      </c>
      <c r="R21" s="20">
        <v>649.74</v>
      </c>
      <c r="S21" s="20">
        <v>0</v>
      </c>
      <c r="T21" s="21">
        <f t="shared" si="2"/>
        <v>649.74</v>
      </c>
    </row>
    <row r="22" spans="1:20" x14ac:dyDescent="0.25">
      <c r="A22" s="1" t="s">
        <v>24</v>
      </c>
      <c r="B22" s="16"/>
      <c r="C22" s="16"/>
      <c r="F22" s="16" t="e">
        <f>#REF!</f>
        <v>#REF!</v>
      </c>
      <c r="G22" s="16" t="e">
        <f>#REF!</f>
        <v>#REF!</v>
      </c>
      <c r="H22" s="17"/>
    </row>
    <row r="23" spans="1:20" x14ac:dyDescent="0.25">
      <c r="A23" s="1" t="s">
        <v>24</v>
      </c>
      <c r="I23" s="50" t="str">
        <f>I16&amp;"   "&amp;J16&amp;"         Total:"</f>
        <v>5021-0-6100-0000   Salaries and Wages         Total:</v>
      </c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22">
        <f>SUBTOTAL(9,T17:T22)</f>
        <v>2605.3199999999997</v>
      </c>
    </row>
    <row r="24" spans="1:20" x14ac:dyDescent="0.25">
      <c r="A24" s="1" t="s">
        <v>24</v>
      </c>
    </row>
    <row r="25" spans="1:20" x14ac:dyDescent="0.25">
      <c r="A25" s="1" t="s">
        <v>24</v>
      </c>
    </row>
    <row r="26" spans="1:20" x14ac:dyDescent="0.25">
      <c r="A26" s="1" t="s">
        <v>24</v>
      </c>
      <c r="D26" s="1" t="str">
        <f>"||""Filter"",""Jet GL Transactions"",""Account Number"",""Transaction Date"",""10/1/2024..9/30/2025"",""Account Number"",""||""""Filter"""",""""Jet GL Transactions"""",""""Account Number"""",""""Segment 1"""",""""5021"""",""""Segment 2"""",""""*"""",""""Segment 4"""",""""0000|9050"""""""</f>
        <v>||"Filter","Jet GL Transactions","Account Number","Transaction Date","10/1/2024..9/30/2025","Account Number","||""Filter"",""Jet GL Transactions"",""Account Number"",""Segment 1"",""5021"",""Segment 2"",""*"",""Segment 4"",""0000|9050"""</v>
      </c>
      <c r="F26" s="1" t="str">
        <f>"5021-0-6103-0000"</f>
        <v>5021-0-6103-0000</v>
      </c>
      <c r="G26" s="1" t="str">
        <f>"5021-0-6103-0000"</f>
        <v>5021-0-6103-0000</v>
      </c>
      <c r="I26" s="14" t="str">
        <f>G26</f>
        <v>5021-0-6103-0000</v>
      </c>
      <c r="J26" s="14" t="str">
        <f>"Salaries and Wages - PTO"</f>
        <v>Salaries and Wages - PTO</v>
      </c>
      <c r="Q26" s="14"/>
      <c r="R26" s="15"/>
    </row>
    <row r="27" spans="1:20" x14ac:dyDescent="0.25">
      <c r="A27" s="1" t="s">
        <v>24</v>
      </c>
      <c r="B27" s="16"/>
      <c r="C27" s="16"/>
      <c r="F27" s="16" t="e">
        <f>#REF!</f>
        <v>#REF!</v>
      </c>
      <c r="G27" s="16" t="e">
        <f>#REF!</f>
        <v>#REF!</v>
      </c>
      <c r="H27" s="17"/>
      <c r="K27" t="str">
        <f>"""GP"",""Ute Indian Tribe Membership Fund"",""Jet GL Transactions"",""Account Category Description"",""Salaries Expense"",""Account Category Number"",""36"",""Account Description"",""Salaries and Wages - PTO"",""Account Index"",""18812"",""Account Number"",""5021-0-6103-0000"",""Cr"&amp;"edit Amount"",""0.00000"",""Debit Amount"",""1815.96000"",""Document Date"",""1/1/1900"",""Document Number"",""DD000000000000144904"",""Document Sequence"",""147456"",""Period ID"",""10"",""Posting Type"",""Profit and Loss"",""Reference"",""Payroll Computer Checks"",""Row ID"",""5436748"","&amp;"""Segment 1"",""5021"",""Segment 1 Description"",""Uinta River High School"",""Segment 10"","""",""Segment 10 Description"","""",""Segment 2"",""0"",""Segment 2 Description"","""",""Segment 3"",""6103"",""Segment 3 Description"","""",""Segment 4"",""0000"",""Segment 4 Description"","""",""Segmen"&amp;"t 5"","""",""Segment 5 Description"","""",""Segment 6"","""",""Segment 6 Description"","""",""Segment 7"","""",""Segment 7 Description"","""",""Segment 8"","""",""Segment 8 Description"","""",""Segment 9"","""",""Segment 9 Description"","""",""Transaction Amount"",""1815.96000"",""Transaction Date"""&amp;",""7/2/2025"",""Transaction Description"","""",""Vendor Name"",""ESPLIN, TAMMIE A."",""Vendor Number"",""927"",""Journal Entry"",""1612751"""</f>
        <v>"GP","Ute Indian Tribe Membership Fund","Jet GL Transactions","Account Category Description","Salaries Expense","Account Category Number","36","Account Description","Salaries and Wages - PTO","Account Index","18812","Account Number","5021-0-6103-0000","Credit Amount","0.00000","Debit Amount","1815.96000","Document Date","1/1/1900","Document Number","DD000000000000144904","Document Sequence","147456","Period ID","10","Posting Type","Profit and Loss","Reference","Payroll Computer Checks","Row ID","5436748","Segment 1","5021","Segment 1 Description","Uinta River High School","Segment 10","","Segment 10 Description","","Segment 2","0","Segment 2 Description","","Segment 3","6103","Segment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Amount","1815.96000","Transaction Date","7/2/2025","Transaction Description","","Vendor Name","ESPLIN, TAMMIE A.","Vendor Number","927","Journal Entry","1612751"</v>
      </c>
      <c r="L27" s="18">
        <v>45840</v>
      </c>
      <c r="M27">
        <v>1612751</v>
      </c>
      <c r="N27" t="str">
        <f t="shared" ref="N27:N30" si="4">"Payroll Check"</f>
        <v>Payroll Check</v>
      </c>
      <c r="O27" t="str">
        <f>"DD000000000000144904"</f>
        <v>DD000000000000144904</v>
      </c>
      <c r="P27" t="str">
        <f t="shared" ref="P27:P30" si="5">"Payroll Computer Checks"</f>
        <v>Payroll Computer Checks</v>
      </c>
      <c r="Q27" s="19" t="str">
        <f>""</f>
        <v/>
      </c>
      <c r="R27" s="20">
        <v>1815.96</v>
      </c>
      <c r="S27" s="20">
        <v>0</v>
      </c>
      <c r="T27" s="21">
        <f t="shared" ref="T27:T30" si="6">SUM(R27:S27)</f>
        <v>1815.96</v>
      </c>
    </row>
    <row r="28" spans="1:20" x14ac:dyDescent="0.25">
      <c r="A28" s="1" t="s">
        <v>24</v>
      </c>
      <c r="B28" s="16"/>
      <c r="C28" s="16"/>
      <c r="F28" s="16" t="e">
        <f t="shared" ref="F28:G30" si="7">F27</f>
        <v>#REF!</v>
      </c>
      <c r="G28" s="16" t="e">
        <f t="shared" si="7"/>
        <v>#REF!</v>
      </c>
      <c r="H28" s="17"/>
      <c r="K28" t="str">
        <f>"""GP"",""Ute Indian Tribe Membership Fund"",""Jet GL Transactions"",""Account Category Description"",""Salaries Expense"",""Account Category Number"",""36"",""Account Description"",""Salaries and Wages - PTO"",""Account Index"",""18812"",""Account Number"",""5021-0-6103-0000"",""Cr"&amp;"edit Amount"",""0.00000"",""Debit Amount"",""1588.96000"",""Document Date"",""1/1/1900"",""Document Number"",""DD000000000000145291"",""Document Sequence"",""147456"",""Period ID"",""10"",""Posting Type"",""Profit and Loss"",""Reference"",""Payroll Computer Checks"",""Row ID"",""5445059"","&amp;"""Segment 1"",""5021"",""Segment 1 Description"",""Uinta River High School"",""Segment 10"","""",""Segment 10 Description"","""",""Segment 2"",""0"",""Segment 2 Description"","""",""Segment 3"",""6103"",""Segment 3 Description"","""",""Segment 4"",""0000"",""Segment 4 Description"","""",""Segmen"&amp;"t 5"","""",""Segment 5 Description"","""",""Segment 6"","""",""Segment 6 Description"","""",""Segment 7"","""",""Segment 7 Description"","""",""Segment 8"","""",""Segment 8 Description"","""",""Segment 9"","""",""Segment 9 Description"","""",""Transaction Amount"",""1588.96000"",""Transaction Date"""&amp;",""7/17/2025"",""Transaction Description"","""",""Vendor Name"",""ESPLIN, TAMMIE A."",""Vendor Number"",""927"",""Journal Entry"",""1615158"""</f>
        <v>"GP","Ute Indian Tribe Membership Fund","Jet GL Transactions","Account Category Description","Salaries Expense","Account Category Number","36","Account Description","Salaries and Wages - PTO","Account Index","18812","Account Number","5021-0-6103-0000","Credit Amount","0.00000","Debit Amount","1588.96000","Document Date","1/1/1900","Document Number","DD000000000000145291","Document Sequence","147456","Period ID","10","Posting Type","Profit and Loss","Reference","Payroll Computer Checks","Row ID","5445059","Segment 1","5021","Segment 1 Description","Uinta River High School","Segment 10","","Segment 10 Description","","Segment 2","0","Segment 2 Description","","Segment 3","6103","Segment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Amount","1588.96000","Transaction Date","7/17/2025","Transaction Description","","Vendor Name","ESPLIN, TAMMIE A.","Vendor Number","927","Journal Entry","1615158"</v>
      </c>
      <c r="L28" s="18">
        <v>45855</v>
      </c>
      <c r="M28">
        <v>1615158</v>
      </c>
      <c r="N28" t="str">
        <f t="shared" si="4"/>
        <v>Payroll Check</v>
      </c>
      <c r="O28" t="str">
        <f>"DD000000000000145291"</f>
        <v>DD000000000000145291</v>
      </c>
      <c r="P28" t="str">
        <f t="shared" si="5"/>
        <v>Payroll Computer Checks</v>
      </c>
      <c r="Q28" s="19" t="str">
        <f>""</f>
        <v/>
      </c>
      <c r="R28" s="20">
        <v>1588.96</v>
      </c>
      <c r="S28" s="20">
        <v>0</v>
      </c>
      <c r="T28" s="21">
        <f t="shared" si="6"/>
        <v>1588.96</v>
      </c>
    </row>
    <row r="29" spans="1:20" x14ac:dyDescent="0.25">
      <c r="A29" s="1" t="s">
        <v>24</v>
      </c>
      <c r="B29" s="16"/>
      <c r="C29" s="16"/>
      <c r="F29" s="16" t="e">
        <f t="shared" si="7"/>
        <v>#REF!</v>
      </c>
      <c r="G29" s="16" t="e">
        <f t="shared" si="7"/>
        <v>#REF!</v>
      </c>
      <c r="H29" s="17"/>
      <c r="K29" t="str">
        <f>"""GP"",""Ute Indian Tribe Membership Fund"",""Jet GL Transactions"",""Account Category Description"",""Salaries Expense"",""Account Category Number"",""36"",""Account Description"",""Salaries and Wages - PTO"",""Account Index"",""18812"",""Account Number"",""5021-0-6103-0000"",""Cr"&amp;"edit Amount"",""0.00000"",""Debit Amount"",""1815.96000"",""Document Date"",""1/1/1900"",""Document Number"",""DD000000000000145678"",""Document Sequence"",""147456"",""Period ID"",""10"",""Posting Type"",""Profit and Loss"",""Reference"",""Payroll Computer Checks"",""Row ID"",""5456151"","&amp;"""Segment 1"",""5021"",""Segment 1 Description"",""Uinta River High School"",""Segment 10"","""",""Segment 10 Description"","""",""Segment 2"",""0"",""Segment 2 Description"","""",""Segment 3"",""6103"",""Segment 3 Description"","""",""Segment 4"",""0000"",""Segment 4 Description"","""",""Segmen"&amp;"t 5"","""",""Segment 5 Description"","""",""Segment 6"","""",""Segment 6 Description"","""",""Segment 7"","""",""Segment 7 Description"","""",""Segment 8"","""",""Segment 8 Description"","""",""Segment 9"","""",""Segment 9 Description"","""",""Transaction Amount"",""1815.96000"",""Transaction Date"""&amp;",""7/31/2025"",""Transaction Description"","""",""Vendor Name"",""ESPLIN, TAMMIE A."",""Vendor Number"",""927"",""Journal Entry"",""1617078"""</f>
        <v>"GP","Ute Indian Tribe Membership Fund","Jet GL Transactions","Account Category Description","Salaries Expense","Account Category Number","36","Account Description","Salaries and Wages - PTO","Account Index","18812","Account Number","5021-0-6103-0000","Credit Amount","0.00000","Debit Amount","1815.96000","Document Date","1/1/1900","Document Number","DD000000000000145678","Document Sequence","147456","Period ID","10","Posting Type","Profit and Loss","Reference","Payroll Computer Checks","Row ID","5456151","Segment 1","5021","Segment 1 Description","Uinta River High School","Segment 10","","Segment 10 Description","","Segment 2","0","Segment 2 Description","","Segment 3","6103","Segment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Amount","1815.96000","Transaction Date","7/31/2025","Transaction Description","","Vendor Name","ESPLIN, TAMMIE A.","Vendor Number","927","Journal Entry","1617078"</v>
      </c>
      <c r="L29" s="18">
        <v>45869</v>
      </c>
      <c r="M29">
        <v>1617078</v>
      </c>
      <c r="N29" t="str">
        <f t="shared" si="4"/>
        <v>Payroll Check</v>
      </c>
      <c r="O29" t="str">
        <f>"DD000000000000145678"</f>
        <v>DD000000000000145678</v>
      </c>
      <c r="P29" t="str">
        <f t="shared" si="5"/>
        <v>Payroll Computer Checks</v>
      </c>
      <c r="Q29" s="19" t="str">
        <f>""</f>
        <v/>
      </c>
      <c r="R29" s="20">
        <v>1815.96</v>
      </c>
      <c r="S29" s="20">
        <v>0</v>
      </c>
      <c r="T29" s="21">
        <f t="shared" si="6"/>
        <v>1815.96</v>
      </c>
    </row>
    <row r="30" spans="1:20" x14ac:dyDescent="0.25">
      <c r="A30" s="1" t="s">
        <v>24</v>
      </c>
      <c r="B30" s="16"/>
      <c r="C30" s="16"/>
      <c r="F30" s="16" t="e">
        <f t="shared" si="7"/>
        <v>#REF!</v>
      </c>
      <c r="G30" s="16" t="e">
        <f t="shared" si="7"/>
        <v>#REF!</v>
      </c>
      <c r="H30" s="17"/>
      <c r="K30" t="str">
        <f>"""GP"",""Ute Indian Tribe Membership Fund"",""Jet GL Transactions"",""Account Category Description"",""Salaries Expense"",""Account Category Number"",""36"",""Account Description"",""Salaries and Wages - PTO"",""Account Index"",""18812"",""Account Number"",""5021-0-6103-0000"",""Cr"&amp;"edit Amount"",""0.00000"",""Debit Amount"",""1588.96000"",""Document Date"",""1/1/1900"",""Document Number"",""DD000000000000146067"",""Document Sequence"",""147456"",""Period ID"",""11"",""Posting Type"",""Profit and Loss"",""Reference"",""Payroll Computer Checks"",""Row ID"",""5474242"","&amp;"""Segment 1"",""5021"",""Segment 1 Description"",""Uinta River High School"",""Segment 10"","""",""Segment 10 Description"","""",""Segment 2"",""0"",""Segment 2 Description"","""",""Segment 3"",""6103"",""Segment 3 Description"","""",""Segment 4"",""0000"",""Segment 4 Description"","""",""Segmen"&amp;"t 5"","""",""Segment 5 Description"","""",""Segment 6"","""",""Segment 6 Description"","""",""Segment 7"","""",""Segment 7 Description"","""",""Segment 8"","""",""Segment 8 Description"","""",""Segment 9"","""",""Segment 9 Description"","""",""Transaction Amount"",""1588.96000"",""Transaction Date"""&amp;",""8/14/2025"",""Transaction Description"","""",""Vendor Name"",""ESPLIN, TAMMIE A."",""Vendor Number"",""927"",""Journal Entry"",""1619971"""</f>
        <v>"GP","Ute Indian Tribe Membership Fund","Jet GL Transactions","Account Category Description","Salaries Expense","Account Category Number","36","Account Description","Salaries and Wages - PTO","Account Index","18812","Account Number","5021-0-6103-0000","Credit Amount","0.00000","Debit Amount","1588.96000","Document Date","1/1/1900","Document Number","DD000000000000146067","Document Sequence","147456","Period ID","11","Posting Type","Profit and Loss","Reference","Payroll Computer Checks","Row ID","5474242","Segment 1","5021","Segment 1 Description","Uinta River High School","Segment 10","","Segment 10 Description","","Segment 2","0","Segment 2 Description","","Segment 3","6103","Segment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Amount","1588.96000","Transaction Date","8/14/2025","Transaction Description","","Vendor Name","ESPLIN, TAMMIE A.","Vendor Number","927","Journal Entry","1619971"</v>
      </c>
      <c r="L30" s="18">
        <v>45883</v>
      </c>
      <c r="M30">
        <v>1619971</v>
      </c>
      <c r="N30" t="str">
        <f t="shared" si="4"/>
        <v>Payroll Check</v>
      </c>
      <c r="O30" t="str">
        <f>"DD000000000000146067"</f>
        <v>DD000000000000146067</v>
      </c>
      <c r="P30" t="str">
        <f t="shared" si="5"/>
        <v>Payroll Computer Checks</v>
      </c>
      <c r="Q30" s="19" t="str">
        <f>""</f>
        <v/>
      </c>
      <c r="R30" s="20">
        <v>1588.96</v>
      </c>
      <c r="S30" s="20">
        <v>0</v>
      </c>
      <c r="T30" s="21">
        <f t="shared" si="6"/>
        <v>1588.96</v>
      </c>
    </row>
    <row r="31" spans="1:20" x14ac:dyDescent="0.25">
      <c r="A31" s="1" t="s">
        <v>24</v>
      </c>
      <c r="B31" s="16"/>
      <c r="C31" s="16"/>
      <c r="F31" s="16" t="e">
        <f>#REF!</f>
        <v>#REF!</v>
      </c>
      <c r="G31" s="16" t="e">
        <f>#REF!</f>
        <v>#REF!</v>
      </c>
      <c r="H31" s="17"/>
    </row>
    <row r="32" spans="1:20" x14ac:dyDescent="0.25">
      <c r="A32" s="1" t="s">
        <v>24</v>
      </c>
      <c r="I32" s="50" t="str">
        <f>I26&amp;"   "&amp;J26&amp;"         Total:"</f>
        <v>5021-0-6103-0000   Salaries and Wages - PTO         Total:</v>
      </c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22">
        <f>SUBTOTAL(9,T27:T31)</f>
        <v>6809.84</v>
      </c>
    </row>
    <row r="33" spans="1:20" x14ac:dyDescent="0.25">
      <c r="A33" s="1" t="s">
        <v>24</v>
      </c>
    </row>
    <row r="34" spans="1:20" x14ac:dyDescent="0.25">
      <c r="A34" s="1" t="s">
        <v>24</v>
      </c>
    </row>
    <row r="35" spans="1:20" x14ac:dyDescent="0.25">
      <c r="A35" s="1" t="s">
        <v>24</v>
      </c>
      <c r="D35" s="1" t="str">
        <f>"||""Filter"",""Jet GL Transactions"",""Account Number"",""Transaction Date"",""10/1/2024..9/30/2025"",""Account Number"",""||""""Filter"""",""""Jet GL Transactions"""",""""Account Number"""",""""Segment 1"""",""""5021"""",""""Segment 2"""",""""*"""",""""Segment 4"""",""""0000|9050"""""""</f>
        <v>||"Filter","Jet GL Transactions","Account Number","Transaction Date","10/1/2024..9/30/2025","Account Number","||""Filter"",""Jet GL Transactions"",""Account Number"",""Segment 1"",""5021"",""Segment 2"",""*"",""Segment 4"",""0000|9050"""</v>
      </c>
      <c r="F35" s="1" t="str">
        <f>"5021-0-6110-0000"</f>
        <v>5021-0-6110-0000</v>
      </c>
      <c r="G35" s="1" t="str">
        <f>"5021-0-6110-0000"</f>
        <v>5021-0-6110-0000</v>
      </c>
      <c r="I35" s="14" t="str">
        <f>G35</f>
        <v>5021-0-6110-0000</v>
      </c>
      <c r="J35" s="14" t="str">
        <f>"Fringe Benefits - Taxes"</f>
        <v>Fringe Benefits - Taxes</v>
      </c>
      <c r="Q35" s="14"/>
      <c r="R35" s="15"/>
    </row>
    <row r="36" spans="1:20" x14ac:dyDescent="0.25">
      <c r="A36" s="1" t="s">
        <v>24</v>
      </c>
      <c r="B36" s="16"/>
      <c r="C36" s="16"/>
      <c r="F36" s="16" t="e">
        <f>#REF!</f>
        <v>#REF!</v>
      </c>
      <c r="G36" s="16" t="e">
        <f>#REF!</f>
        <v>#REF!</v>
      </c>
      <c r="H36" s="17"/>
      <c r="K36" t="str">
        <f>"""GP"",""Ute Indian Tribe Membership Fund"",""Jet GL Transactions"",""Account Category Description"",""Other Expenses"",""Account Category Number"",""42"",""Account Description"",""Fringe Benefits - Taxes"",""Account Index"",""2551"",""Account Number"",""5021-0-6110-0000"",""Credit"&amp;" Amount"",""0.00000"",""Debit Amount"",""19.17000"",""Document Date"",""1/1/1900"",""Document Number"",""DD000000000000144748"",""Document Sequence"",""131072"",""Period ID"",""10"",""Posting Type"",""Profit and Loss"",""Reference"",""Payroll Computer Checks"",""Row ID"",""5436761"",""Segme"&amp;"nt 1"",""5021"",""Segment 1 Description"",""Uinta River High School"",""Segment 10"","""",""Segment 10 Description"","""",""Segment 2"",""0"",""Segment 2 Description"","""",""Segment 3"",""6110"",""Segment 3 Description"","""",""Segment 4"",""0000"",""Segment 4 Description"","""",""Segment 5"","""&amp;""",""Segment 5 Description"","""",""Segment 6"","""",""Segment 6 Description"","""",""Segment 7"","""",""Segment 7 Description"","""",""Segment 8"","""",""Segment 8 Description"","""",""Segment 9"","""",""Segment 9 Description"","""",""Transaction Amount"",""19.17000"",""Transaction Date"",""7/2/20"&amp;"25"",""Transaction Description"","""",""Vendor Name"",""THACKER, STEPHANIE"",""Vendor Number"",""928"",""Journal Entry"",""1612752"""</f>
        <v>"GP","Ute Indian Tribe Membership Fund","Jet GL Transactions","Account Category Description","Other Expenses","Account Category Number","42","Account Description","Fringe Benefits - Taxes","Account Index","2551","Account Number","5021-0-6110-0000","Credit Amount","0.00000","Debit Amount","19.17000","Document Date","1/1/1900","Document Number","DD000000000000144748","Document Sequence","131072","Period ID","10","Posting Type","Profit and Loss","Reference","Payroll Computer Checks","Row ID","5436761","Segment 1","5021","Segment 1 Description","Uinta River High School","Segment 10","","Segment 10 Description","","Segment 2","0","Segment 2 Description","","Segment 3","6110","Segment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Amount","19.17000","Transaction Date","7/2/2025","Transaction Description","","Vendor Name","THACKER, STEPHANIE","Vendor Number","928","Journal Entry","1612752"</v>
      </c>
      <c r="L36" s="18">
        <v>45840</v>
      </c>
      <c r="M36">
        <v>1612752</v>
      </c>
      <c r="N36" t="str">
        <f>"Payroll Check"</f>
        <v>Payroll Check</v>
      </c>
      <c r="O36" t="str">
        <f>"DD000000000000144748"</f>
        <v>DD000000000000144748</v>
      </c>
      <c r="P36" t="str">
        <f>"Payroll Computer Checks"</f>
        <v>Payroll Computer Checks</v>
      </c>
      <c r="Q36" s="19" t="str">
        <f>""</f>
        <v/>
      </c>
      <c r="R36" s="20">
        <v>19.170000000000002</v>
      </c>
      <c r="S36" s="20">
        <v>0</v>
      </c>
      <c r="T36" s="21">
        <f t="shared" ref="T36:T59" si="8">SUM(R36:S36)</f>
        <v>19.170000000000002</v>
      </c>
    </row>
    <row r="37" spans="1:20" x14ac:dyDescent="0.25">
      <c r="A37" s="1" t="s">
        <v>24</v>
      </c>
      <c r="B37" s="16"/>
      <c r="C37" s="16"/>
      <c r="F37" s="16" t="e">
        <f t="shared" ref="F37:G59" si="9">F36</f>
        <v>#REF!</v>
      </c>
      <c r="G37" s="16" t="e">
        <f t="shared" si="9"/>
        <v>#REF!</v>
      </c>
      <c r="H37" s="17"/>
      <c r="K37" t="str">
        <f>"""GP"",""Ute Indian Tribe Membership Fund"",""Jet GL Transactions"",""Account Category Description"",""Other Expenses"",""Account Category Number"",""42"",""Account Description"",""Fringe Benefits - Taxes"",""Account Index"",""2551"",""Account Number"",""5021-0-6110-0000"",""Credit"&amp;" Amount"",""0.00000"",""Debit Amount"",""24.22000"",""Document Date"",""1/1/1900"",""Document Number"",""DD000000000000144904"",""Document Sequence"",""131072"",""Period ID"",""10"",""Posting Type"",""Profit and Loss"",""Reference"",""Payroll Computer Checks"",""Row ID"",""5436744"",""Segme"&amp;"nt 1"",""5021"",""Segment 1 Description"",""Uinta River High School"",""Segment 10"","""",""Segment 10 Description"","""",""Segment 2"",""0"",""Segment 2 Description"","""",""Segment 3"",""6110"",""Segment 3 Description"","""",""Segment 4"",""0000"",""Segment 4 Description"","""",""Segment 5"","""&amp;""",""Segment 5 Description"","""",""Segment 6"","""",""Segment 6 Description"","""",""Segment 7"","""",""Segment 7 Description"","""",""Segment 8"","""",""Segment 8 Description"","""",""Segment 9"","""",""Segment 9 Description"","""",""Transaction Amount"",""24.22000"",""Transaction Date"",""7/2/20"&amp;"25"",""Transaction Description"","""",""Vendor Name"",""ESPLIN, TAMMIE A."",""Vendor Number"",""927"",""Journal Entry"",""1612751"""</f>
        <v>"GP","Ute Indian Tribe Membership Fund","Jet GL Transactions","Account Category Description","Other Expenses","Account Category Number","42","Account Description","Fringe Benefits - Taxes","Account Index","2551","Account Number","5021-0-6110-0000","Credit Amount","0.00000","Debit Amount","24.22000","Document Date","1/1/1900","Document Number","DD000000000000144904","Document Sequence","131072","Period ID","10","Posting Type","Profit and Loss","Reference","Payroll Computer Checks","Row ID","5436744","Segment 1","5021","Segment 1 Description","Uinta River High School","Segment 10","","Segment 10 Description","","Segment 2","0","Segment 2 Description","","Segment 3","6110","Segment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Amount","24.22000","Transaction Date","7/2/2025","Transaction Description","","Vendor Name","ESPLIN, TAMMIE A.","Vendor Number","927","Journal Entry","1612751"</v>
      </c>
      <c r="L37" s="18">
        <v>45840</v>
      </c>
      <c r="M37">
        <v>1612751</v>
      </c>
      <c r="N37" t="str">
        <f>"Payroll Check"</f>
        <v>Payroll Check</v>
      </c>
      <c r="O37" t="str">
        <f>"DD000000000000144904"</f>
        <v>DD000000000000144904</v>
      </c>
      <c r="P37" t="str">
        <f>"Payroll Computer Checks"</f>
        <v>Payroll Computer Checks</v>
      </c>
      <c r="Q37" s="19" t="str">
        <f>""</f>
        <v/>
      </c>
      <c r="R37" s="20">
        <v>24.22</v>
      </c>
      <c r="S37" s="20">
        <v>0</v>
      </c>
      <c r="T37" s="21">
        <f t="shared" si="8"/>
        <v>24.22</v>
      </c>
    </row>
    <row r="38" spans="1:20" x14ac:dyDescent="0.25">
      <c r="A38" s="1" t="s">
        <v>24</v>
      </c>
      <c r="B38" s="16"/>
      <c r="C38" s="16"/>
      <c r="F38" s="16" t="e">
        <f t="shared" si="9"/>
        <v>#REF!</v>
      </c>
      <c r="G38" s="16" t="e">
        <f t="shared" si="9"/>
        <v>#REF!</v>
      </c>
      <c r="H38" s="17"/>
      <c r="K38" t="str">
        <f>"""GP"",""Ute Indian Tribe Membership Fund"",""Jet GL Transactions"",""Account Category Description"",""Other Expenses"",""Account Category Number"",""42"",""Account Description"",""Fringe Benefits - Taxes"",""Account Index"",""2551"",""Account Number"",""5021-0-6110-0000"",""Credit"&amp;" Amount"",""0.00000"",""Debit Amount"",""81.94000"",""Document Date"",""1/1/1900"",""Document Number"",""DD000000000000144748"",""Document Sequence"",""81920"",""Period ID"",""10"",""Posting Type"",""Profit and Loss"",""Reference"",""Payroll Computer Checks"",""Row ID"",""5436760"",""Segmen"&amp;"t 1"",""5021"",""Segment 1 Description"",""Uinta River High School"",""Segment 10"","""",""Segment 10 Description"","""",""Segment 2"",""0"",""Segment 2 Description"","""",""Segment 3"",""6110"",""Segment 3 Description"","""",""Segment 4"",""0000"",""Segment 4 Description"","""",""Segment 5"","""""&amp;",""Segment 5 Description"","""",""Segment 6"","""",""Segment 6 Description"","""",""Segment 7"","""",""Segment 7 Description"","""",""Segment 8"","""",""Segment 8 Description"","""",""Segment 9"","""",""Segment 9 Description"","""",""Transaction Amount"",""81.94000"",""Transaction Date"",""7/2/202"&amp;"5"",""Transaction Description"","""",""Vendor Name"",""THACKER, STEPHANIE"",""Vendor Number"",""928"",""Journal Entry"",""1612752"""</f>
        <v>"GP","Ute Indian Tribe Membership Fund","Jet GL Transactions","Account Category Description","Other Expenses","Account Category Number","42","Account Description","Fringe Benefits - Taxes","Account Index","2551","Account Number","5021-0-6110-0000","Credit Amount","0.00000","Debit Amount","81.94000","Document Date","1/1/1900","Document Number","DD000000000000144748","Document Sequence","81920","Period ID","10","Posting Type","Profit and Loss","Reference","Payroll Computer Checks","Row ID","5436760","Segment 1","5021","Segment 1 Description","Uinta River High School","Segment 10","","Segment 10 Description","","Segment 2","0","Segment 2 Description","","Segment 3","6110","Segment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Amount","81.94000","Transaction Date","7/2/2025","Transaction Description","","Vendor Name","THACKER, STEPHANIE","Vendor Number","928","Journal Entry","1612752"</v>
      </c>
      <c r="L38" s="18">
        <v>45840</v>
      </c>
      <c r="M38">
        <v>1612752</v>
      </c>
      <c r="N38" t="str">
        <f>"Payroll Check"</f>
        <v>Payroll Check</v>
      </c>
      <c r="O38" t="str">
        <f>"DD000000000000144748"</f>
        <v>DD000000000000144748</v>
      </c>
      <c r="P38" t="str">
        <f>"Payroll Computer Checks"</f>
        <v>Payroll Computer Checks</v>
      </c>
      <c r="Q38" s="19" t="str">
        <f>""</f>
        <v/>
      </c>
      <c r="R38" s="20">
        <v>81.94</v>
      </c>
      <c r="S38" s="20">
        <v>0</v>
      </c>
      <c r="T38" s="21">
        <f t="shared" si="8"/>
        <v>81.94</v>
      </c>
    </row>
    <row r="39" spans="1:20" x14ac:dyDescent="0.25">
      <c r="A39" s="1" t="s">
        <v>24</v>
      </c>
      <c r="B39" s="16"/>
      <c r="C39" s="16"/>
      <c r="F39" s="16" t="e">
        <f t="shared" si="9"/>
        <v>#REF!</v>
      </c>
      <c r="G39" s="16" t="e">
        <f t="shared" si="9"/>
        <v>#REF!</v>
      </c>
      <c r="H39" s="17"/>
      <c r="K39" t="str">
        <f>"""GP"",""Ute Indian Tribe Membership Fund"",""Jet GL Transactions"",""Account Category Description"",""Other Expenses"",""Account Category Number"",""42"",""Account Description"",""Fringe Benefits - Taxes"",""Account Index"",""2551"",""Account Number"",""5021-0-6110-0000"",""Credit"&amp;" Amount"",""0.00000"",""Debit Amount"",""103.55000"",""Document Date"",""1/1/1900"",""Document Number"",""DD000000000000144904"",""Document Sequence"",""81920"",""Period ID"",""10"",""Posting Type"",""Profit and Loss"",""Reference"",""Payroll Computer Checks"",""Row ID"",""5436743"",""Segme"&amp;"nt 1"",""5021"",""Segment 1 Description"",""Uinta River High School"",""Segment 10"","""",""Segment 10 Description"","""",""Segment 2"",""0"",""Segment 2 Description"","""",""Segment 3"",""6110"",""Segment 3 Description"","""",""Segment 4"",""0000"",""Segment 4 Description"","""",""Segment 5"","""&amp;""",""Segment 5 Description"","""",""Segment 6"","""",""Segment 6 Description"","""",""Segment 7"","""",""Segment 7 Description"","""",""Segment 8"","""",""Segment 8 Description"","""",""Segment 9"","""",""Segment 9 Description"","""",""Transaction Amount"",""103.55000"",""Transaction Date"",""7/2/2"&amp;"025"",""Transaction Description"","""",""Vendor Name"",""ESPLIN, TAMMIE A."",""Vendor Number"",""927"",""Journal Entry"",""1612751"""</f>
        <v>"GP","Ute Indian Tribe Membership Fund","Jet GL Transactions","Account Category Description","Other Expenses","Account Category Number","42","Account Description","Fringe Benefits - Taxes","Account Index","2551","Account Number","5021-0-6110-0000","Credit Amount","0.00000","Debit Amount","103.55000","Document Date","1/1/1900","Document Number","DD000000000000144904","Document Sequence","81920","Period ID","10","Posting Type","Profit and Loss","Reference","Payroll Computer Checks","Row ID","5436743","Segment 1","5021","Segment 1 Description","Uinta River High School","Segment 10","","Segment 10 Description","","Segment 2","0","Segment 2 Description","","Segment 3","6110","Segment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Amount","103.55000","Transaction Date","7/2/2025","Transaction Description","","Vendor Name","ESPLIN, TAMMIE A.","Vendor Number","927","Journal Entry","1612751"</v>
      </c>
      <c r="L39" s="18">
        <v>45840</v>
      </c>
      <c r="M39">
        <v>1612751</v>
      </c>
      <c r="N39" t="str">
        <f>"Payroll Check"</f>
        <v>Payroll Check</v>
      </c>
      <c r="O39" t="str">
        <f>"DD000000000000144904"</f>
        <v>DD000000000000144904</v>
      </c>
      <c r="P39" t="str">
        <f>"Payroll Computer Checks"</f>
        <v>Payroll Computer Checks</v>
      </c>
      <c r="Q39" s="19" t="str">
        <f>""</f>
        <v/>
      </c>
      <c r="R39" s="20">
        <v>103.55</v>
      </c>
      <c r="S39" s="20">
        <v>0</v>
      </c>
      <c r="T39" s="21">
        <f t="shared" si="8"/>
        <v>103.55</v>
      </c>
    </row>
    <row r="40" spans="1:20" x14ac:dyDescent="0.25">
      <c r="A40" s="1" t="s">
        <v>24</v>
      </c>
      <c r="B40" s="16"/>
      <c r="C40" s="16"/>
      <c r="F40" s="16" t="e">
        <f t="shared" si="9"/>
        <v>#REF!</v>
      </c>
      <c r="G40" s="16" t="e">
        <f t="shared" si="9"/>
        <v>#REF!</v>
      </c>
      <c r="H40" s="17"/>
      <c r="K40" t="str">
        <f>"""GP"",""Ute Indian Tribe Membership Fund"",""Jet GL Transactions"",""Account Category Description"",""Other Expenses"",""Account Category Number"",""42"",""Account Description"",""Fringe Benefits - Taxes"",""Account Index"",""2551"",""Account Number"",""5021-0-6110-0000"",""Credit"&amp;" Amount"",""0.00000"",""Debit Amount"",""12.56000"",""Document Date"",""1/1/1900"",""Document Number"","""",""Document Sequence"",""2670592"",""Period ID"",""10"",""Posting Type"",""Profit and Loss"",""Reference"",""Payroll Period-End Reports"",""Row ID"",""5460337"",""Segment 1"",""5021"",""Se"&amp;"gment 1 Description"",""Uinta River High School"",""Segment 10"","""",""Segment 10 Description"","""",""Segment 2"",""0"",""Segment 2 Description"","""",""Segment 3"",""6110"",""Segment 3 Description"","""",""Segment 4"",""0000"",""Segment 4 Description"","""",""Segment 5"","""",""Segment 5 Des"&amp;"cription"","""",""Segment 6"","""",""Segment 6 Description"","""",""Segment 7"","""",""Segment 7 Description"","""",""Segment 8"","""",""Segment 8 Description"","""",""Segment 9"","""",""Segment 9 Description"","""",""Transaction Amount"",""12.56000"",""Transaction Date"",""7/3/2025"",""Transaction"&amp;" Description"","""",""Vendor Name"","""",""Vendor Number"","""",""Journal Entry"",""1617618"""</f>
        <v>"GP","Ute Indian Tribe Membership Fund","Jet GL Transactions","Account Category Description","Other Expenses","Account Category Number","42","Account Description","Fringe Benefits - Taxes","Account Index","2551","Account Number","5021-0-6110-0000","Credit Amount","0.00000","Debit Amount","12.56000","Document Date","1/1/1900","Document Number","","Document Sequence","2670592","Period ID","10","Posting Type","Profit and Loss","Reference","Payroll Period-End Reports","Row ID","5460337","Segment 1","5021","Segment 1 Description","Uinta River High School","Segment 10","","Segment 10 Description","","Segment 2","0","Segment 2 Description","","Segment 3","6110","Segment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Amount","12.56000","Transaction Date","7/3/2025","Transaction Description","","Vendor Name","","Vendor Number","","Journal Entry","1617618"</v>
      </c>
      <c r="L40" s="18">
        <v>45841</v>
      </c>
      <c r="M40">
        <v>1617618</v>
      </c>
      <c r="N40" t="str">
        <f>""</f>
        <v/>
      </c>
      <c r="O40" t="str">
        <f>""</f>
        <v/>
      </c>
      <c r="P40" t="str">
        <f t="shared" ref="P40:P45" si="10">"Payroll Period-End Reports"</f>
        <v>Payroll Period-End Reports</v>
      </c>
      <c r="Q40" s="19" t="str">
        <f>""</f>
        <v/>
      </c>
      <c r="R40" s="20">
        <v>12.56</v>
      </c>
      <c r="S40" s="20">
        <v>0</v>
      </c>
      <c r="T40" s="21">
        <f t="shared" si="8"/>
        <v>12.56</v>
      </c>
    </row>
    <row r="41" spans="1:20" x14ac:dyDescent="0.25">
      <c r="A41" s="1" t="s">
        <v>24</v>
      </c>
      <c r="B41" s="16"/>
      <c r="C41" s="16"/>
      <c r="F41" s="16" t="e">
        <f t="shared" si="9"/>
        <v>#REF!</v>
      </c>
      <c r="G41" s="16" t="e">
        <f t="shared" si="9"/>
        <v>#REF!</v>
      </c>
      <c r="H41" s="17"/>
      <c r="K41" t="str">
        <f>"""GP"",""Ute Indian Tribe Membership Fund"",""Jet GL Transactions"",""Account Category Description"",""Other Expenses"",""Account Category Number"",""42"",""Account Description"",""Fringe Benefits - Taxes"",""Account Index"",""2551"",""Account Number"",""5021-0-6110-0000"",""Credit"&amp;" Amount"",""0.00000"",""Debit Amount"",""13.22000"",""Document Date"",""1/1/1900"",""Document Number"","""",""Document Sequence"",""13418496"",""Period ID"",""10"",""Posting Type"",""Profit and Loss"",""Reference"",""Payroll Period-End Reports"",""Row ID"",""5460339"",""Segment 1"",""5021"",""S"&amp;"egment 1 Description"",""Uinta River High School"",""Segment 10"","""",""Segment 10 Description"","""",""Segment 2"",""0"",""Segment 2 Description"","""",""Segment 3"",""6110"",""Segment 3 Description"","""",""Segment 4"",""0000"",""Segment 4 Description"","""",""Segment 5"","""",""Segment 5 De"&amp;"scription"","""",""Segment 6"","""",""Segment 6 Description"","""",""Segment 7"","""",""Segment 7 Description"","""",""Segment 8"","""",""Segment 8 Description"","""",""Segment 9"","""",""Segment 9 Description"","""",""Transaction Amount"",""13.22000"",""Transaction Date"",""7/3/2025"",""Transactio"&amp;"n Description"","""",""Vendor Name"","""",""Vendor Number"","""",""Journal Entry"",""1617618"""</f>
        <v>"GP","Ute Indian Tribe Membership Fund","Jet GL Transactions","Account Category Description","Other Expenses","Account Category Number","42","Account Description","Fringe Benefits - Taxes","Account Index","2551","Account Number","5021-0-6110-0000","Credit Amount","0.00000","Debit Amount","13.22000","Document Date","1/1/1900","Document Number","","Document Sequence","13418496","Period ID","10","Posting Type","Profit and Loss","Reference","Payroll Period-End Reports","Row ID","5460339","Segment 1","5021","Segment 1 Description","Uinta River High School","Segment 10","","Segment 10 Description","","Segment 2","0","Segment 2 Description","","Segment 3","6110","Segment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Amount","13.22000","Transaction Date","7/3/2025","Transaction Description","","Vendor Name","","Vendor Number","","Journal Entry","1617618"</v>
      </c>
      <c r="L41" s="18">
        <v>45841</v>
      </c>
      <c r="M41">
        <v>1617618</v>
      </c>
      <c r="N41" t="str">
        <f>""</f>
        <v/>
      </c>
      <c r="O41" t="str">
        <f>""</f>
        <v/>
      </c>
      <c r="P41" t="str">
        <f t="shared" si="10"/>
        <v>Payroll Period-End Reports</v>
      </c>
      <c r="Q41" s="19" t="str">
        <f>""</f>
        <v/>
      </c>
      <c r="R41" s="20">
        <v>13.22</v>
      </c>
      <c r="S41" s="20">
        <v>0</v>
      </c>
      <c r="T41" s="21">
        <f t="shared" si="8"/>
        <v>13.22</v>
      </c>
    </row>
    <row r="42" spans="1:20" x14ac:dyDescent="0.25">
      <c r="A42" s="1" t="s">
        <v>24</v>
      </c>
      <c r="B42" s="16"/>
      <c r="C42" s="16"/>
      <c r="F42" s="16" t="e">
        <f t="shared" si="9"/>
        <v>#REF!</v>
      </c>
      <c r="G42" s="16" t="e">
        <f t="shared" si="9"/>
        <v>#REF!</v>
      </c>
      <c r="H42" s="17"/>
      <c r="K42" t="str">
        <f>"""GP"",""Ute Indian Tribe Membership Fund"",""Jet GL Transactions"",""Account Category Description"",""Other Expenses"",""Account Category Number"",""42"",""Account Description"",""Fringe Benefits - Taxes"",""Account Index"",""2551"",""Account Number"",""5021-0-6110-0000"",""Credit"&amp;" Amount"",""0.00000"",""Debit Amount"",""15.79000"",""Document Date"",""1/1/1900"",""Document Number"","""",""Document Sequence"",""2654208"",""Period ID"",""10"",""Posting Type"",""Profit and Loss"",""Reference"",""Payroll Period-End Reports"",""Row ID"",""5460336"",""Segment 1"",""5021"",""Se"&amp;"gment 1 Description"",""Uinta River High School"",""Segment 10"","""",""Segment 10 Description"","""",""Segment 2"",""0"",""Segment 2 Description"","""",""Segment 3"",""6110"",""Segment 3 Description"","""",""Segment 4"",""0000"",""Segment 4 Description"","""",""Segment 5"","""",""Segment 5 Des"&amp;"cription"","""",""Segment 6"","""",""Segment 6 Description"","""",""Segment 7"","""",""Segment 7 Description"","""",""Segment 8"","""",""Segment 8 Description"","""",""Segment 9"","""",""Segment 9 Description"","""",""Transaction Amount"",""15.79000"",""Transaction Date"",""7/3/2025"",""Transaction"&amp;" Description"","""",""Vendor Name"","""",""Vendor Number"","""",""Journal Entry"",""1617618"""</f>
        <v>"GP","Ute Indian Tribe Membership Fund","Jet GL Transactions","Account Category Description","Other Expenses","Account Category Number","42","Account Description","Fringe Benefits - Taxes","Account Index","2551","Account Number","5021-0-6110-0000","Credit Amount","0.00000","Debit Amount","15.79000","Document Date","1/1/1900","Document Number","","Document Sequence","2654208","Period ID","10","Posting Type","Profit and Loss","Reference","Payroll Period-End Reports","Row ID","5460336","Segment 1","5021","Segment 1 Description","Uinta River High School","Segment 10","","Segment 10 Description","","Segment 2","0","Segment 2 Description","","Segment 3","6110","Segment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Amount","15.79000","Transaction Date","7/3/2025","Transaction Description","","Vendor Name","","Vendor Number","","Journal Entry","1617618"</v>
      </c>
      <c r="L42" s="18">
        <v>45841</v>
      </c>
      <c r="M42">
        <v>1617618</v>
      </c>
      <c r="N42" t="str">
        <f>""</f>
        <v/>
      </c>
      <c r="O42" t="str">
        <f>""</f>
        <v/>
      </c>
      <c r="P42" t="str">
        <f t="shared" si="10"/>
        <v>Payroll Period-End Reports</v>
      </c>
      <c r="Q42" s="19" t="str">
        <f>""</f>
        <v/>
      </c>
      <c r="R42" s="20">
        <v>15.79</v>
      </c>
      <c r="S42" s="20">
        <v>0</v>
      </c>
      <c r="T42" s="21">
        <f t="shared" si="8"/>
        <v>15.79</v>
      </c>
    </row>
    <row r="43" spans="1:20" x14ac:dyDescent="0.25">
      <c r="A43" s="1" t="s">
        <v>24</v>
      </c>
      <c r="B43" s="16"/>
      <c r="C43" s="16"/>
      <c r="F43" s="16" t="e">
        <f t="shared" si="9"/>
        <v>#REF!</v>
      </c>
      <c r="G43" s="16" t="e">
        <f t="shared" si="9"/>
        <v>#REF!</v>
      </c>
      <c r="H43" s="17"/>
      <c r="K43" t="str">
        <f>"""GP"",""Ute Indian Tribe Membership Fund"",""Jet GL Transactions"",""Account Category Description"",""Other Expenses"",""Account Category Number"",""42"",""Account Description"",""Fringe Benefits - Taxes"",""Account Index"",""2551"",""Account Number"",""5021-0-6110-0000"",""Credit"&amp;" Amount"",""0.00000"",""Debit Amount"",""18.16000"",""Document Date"",""1/1/1900"",""Document Number"","""",""Document Sequence"",""13402112"",""Period ID"",""10"",""Posting Type"",""Profit and Loss"",""Reference"",""Payroll Period-End Reports"",""Row ID"",""5460338"",""Segment 1"",""5021"",""S"&amp;"egment 1 Description"",""Uinta River High School"",""Segment 10"","""",""Segment 10 Description"","""",""Segment 2"",""0"",""Segment 2 Description"","""",""Segment 3"",""6110"",""Segment 3 Description"","""",""Segment 4"",""0000"",""Segment 4 Description"","""",""Segment 5"","""",""Segment 5 De"&amp;"scription"","""",""Segment 6"","""",""Segment 6 Description"","""",""Segment 7"","""",""Segment 7 Description"","""",""Segment 8"","""",""Segment 8 Description"","""",""Segment 9"","""",""Segment 9 Description"","""",""Transaction Amount"",""18.16000"",""Transaction Date"",""7/3/2025"",""Transactio"&amp;"n Description"","""",""Vendor Name"","""",""Vendor Number"","""",""Journal Entry"",""1617618"""</f>
        <v>"GP","Ute Indian Tribe Membership Fund","Jet GL Transactions","Account Category Description","Other Expenses","Account Category Number","42","Account Description","Fringe Benefits - Taxes","Account Index","2551","Account Number","5021-0-6110-0000","Credit Amount","0.00000","Debit Amount","18.16000","Document Date","1/1/1900","Document Number","","Document Sequence","13402112","Period ID","10","Posting Type","Profit and Loss","Reference","Payroll Period-End Reports","Row ID","5460338","Segment 1","5021","Segment 1 Description","Uinta River High School","Segment 10","","Segment 10 Description","","Segment 2","0","Segment 2 Description","","Segment 3","6110","Segment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Amount","18.16000","Transaction Date","7/3/2025","Transaction Description","","Vendor Name","","Vendor Number","","Journal Entry","1617618"</v>
      </c>
      <c r="L43" s="18">
        <v>45841</v>
      </c>
      <c r="M43">
        <v>1617618</v>
      </c>
      <c r="N43" t="str">
        <f>""</f>
        <v/>
      </c>
      <c r="O43" t="str">
        <f>""</f>
        <v/>
      </c>
      <c r="P43" t="str">
        <f t="shared" si="10"/>
        <v>Payroll Period-End Reports</v>
      </c>
      <c r="Q43" s="19" t="str">
        <f>""</f>
        <v/>
      </c>
      <c r="R43" s="20">
        <v>18.16</v>
      </c>
      <c r="S43" s="20">
        <v>0</v>
      </c>
      <c r="T43" s="21">
        <f t="shared" si="8"/>
        <v>18.16</v>
      </c>
    </row>
    <row r="44" spans="1:20" x14ac:dyDescent="0.25">
      <c r="A44" s="1" t="s">
        <v>24</v>
      </c>
      <c r="B44" s="16"/>
      <c r="C44" s="16"/>
      <c r="F44" s="16" t="e">
        <f t="shared" si="9"/>
        <v>#REF!</v>
      </c>
      <c r="G44" s="16" t="e">
        <f t="shared" si="9"/>
        <v>#REF!</v>
      </c>
      <c r="H44" s="17"/>
      <c r="K44" t="str">
        <f>"""GP"",""Ute Indian Tribe Membership Fund"",""Jet GL Transactions"",""Account Category Description"",""Other Expenses"",""Account Category Number"",""42"",""Account Description"",""Fringe Benefits - Taxes"",""Account Index"",""2551"",""Account Number"",""5021-0-6110-0000"",""Credit"&amp;" Amount"",""0.00000"",""Debit Amount"",""1.80000"",""Document Date"",""1/1/1900"",""Document Number"","""",""Document Sequence"",""2670592"",""Period ID"",""10"",""Posting Type"",""Profit and Loss"",""Reference"",""Payroll Period-End Reports"",""Row ID"",""5463191"",""Segment 1"",""5021"",""Seg"&amp;"ment 1 Description"",""Uinta River High School"",""Segment 10"","""",""Segment 10 Description"","""",""Segment 2"",""0"",""Segment 2 Description"","""",""Segment 3"",""6110"",""Segment 3 Description"","""",""Segment 4"",""0000"",""Segment 4 Description"","""",""Segment 5"","""",""Segment 5 Desc"&amp;"ription"","""",""Segment 6"","""",""Segment 6 Description"","""",""Segment 7"","""",""Segment 7 Description"","""",""Segment 8"","""",""Segment 8 Description"","""",""Segment 9"","""",""Segment 9 Description"","""",""Transaction Amount"",""1.80000"",""Transaction Date"",""7/17/2025"",""Transaction "&amp;"Description"","""",""Vendor Name"","""",""Vendor Number"","""",""Journal Entry"",""1618418"""</f>
        <v>"GP","Ute Indian Tribe Membership Fund","Jet GL Transactions","Account Category Description","Other Expenses","Account Category Number","42","Account Description","Fringe Benefits - Taxes","Account Index","2551","Account Number","5021-0-6110-0000","Credit Amount","0.00000","Debit Amount","1.80000","Document Date","1/1/1900","Document Number","","Document Sequence","2670592","Period ID","10","Posting Type","Profit and Loss","Reference","Payroll Period-End Reports","Row ID","5463191","Segment 1","5021","Segment 1 Description","Uinta River High School","Segment 10","","Segment 10 Description","","Segment 2","0","Segment 2 Description","","Segment 3","6110","Segment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Amount","1.80000","Transaction Date","7/17/2025","Transaction Description","","Vendor Name","","Vendor Number","","Journal Entry","1618418"</v>
      </c>
      <c r="L44" s="18">
        <v>45855</v>
      </c>
      <c r="M44">
        <v>1618418</v>
      </c>
      <c r="N44" t="str">
        <f>""</f>
        <v/>
      </c>
      <c r="O44" t="str">
        <f>""</f>
        <v/>
      </c>
      <c r="P44" t="str">
        <f t="shared" si="10"/>
        <v>Payroll Period-End Reports</v>
      </c>
      <c r="Q44" s="19" t="str">
        <f>""</f>
        <v/>
      </c>
      <c r="R44" s="20">
        <v>1.8</v>
      </c>
      <c r="S44" s="20">
        <v>0</v>
      </c>
      <c r="T44" s="21">
        <f t="shared" si="8"/>
        <v>1.8</v>
      </c>
    </row>
    <row r="45" spans="1:20" x14ac:dyDescent="0.25">
      <c r="A45" s="1" t="s">
        <v>24</v>
      </c>
      <c r="B45" s="16"/>
      <c r="C45" s="16"/>
      <c r="F45" s="16" t="e">
        <f t="shared" si="9"/>
        <v>#REF!</v>
      </c>
      <c r="G45" s="16" t="e">
        <f t="shared" si="9"/>
        <v>#REF!</v>
      </c>
      <c r="H45" s="17"/>
      <c r="K45" t="str">
        <f>"""GP"",""Ute Indian Tribe Membership Fund"",""Jet GL Transactions"",""Account Category Description"",""Other Expenses"",""Account Category Number"",""42"",""Account Description"",""Fringe Benefits - Taxes"",""Account Index"",""2551"",""Account Number"",""5021-0-6110-0000"",""Credit"&amp;" Amount"",""0.00000"",""Debit Amount"",""1.80000"",""Document Date"",""1/1/1900"",""Document Number"","""",""Document Sequence"",""13434880"",""Period ID"",""10"",""Posting Type"",""Profit and Loss"",""Reference"",""Payroll Period-End Reports"",""Row ID"",""5463193"",""Segment 1"",""5021"",""Se"&amp;"gment 1 Description"",""Uinta River High School"",""Segment 10"","""",""Segment 10 Description"","""",""Segment 2"",""0"",""Segment 2 Description"","""",""Segment 3"",""6110"",""Segment 3 Description"","""",""Segment 4"",""0000"",""Segment 4 Description"","""",""Segment 5"","""",""Segment 5 Des"&amp;"cription"","""",""Segment 6"","""",""Segment 6 Description"","""",""Segment 7"","""",""Segment 7 Description"","""",""Segment 8"","""",""Segment 8 Description"","""",""Segment 9"","""",""Segment 9 Description"","""",""Transaction Amount"",""1.80000"",""Transaction Date"",""7/17/2025"",""Transaction"&amp;" Description"","""",""Vendor Name"","""",""Vendor Number"","""",""Journal Entry"",""1618418"""</f>
        <v>"GP","Ute Indian Tribe Membership Fund","Jet GL Transactions","Account Category Description","Other Expenses","Account Category Number","42","Account Description","Fringe Benefits - Taxes","Account Index","2551","Account Number","5021-0-6110-0000","Credit Amount","0.00000","Debit Amount","1.80000","Document Date","1/1/1900","Document Number","","Document Sequence","13434880","Period ID","10","Posting Type","Profit and Loss","Reference","Payroll Period-End Reports","Row ID","5463193","Segment 1","5021","Segment 1 Description","Uinta River High School","Segment 10","","Segment 10 Description","","Segment 2","0","Segment 2 Description","","Segment 3","6110","Segment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Amount","1.80000","Transaction Date","7/17/2025","Transaction Description","","Vendor Name","","Vendor Number","","Journal Entry","1618418"</v>
      </c>
      <c r="L45" s="18">
        <v>45855</v>
      </c>
      <c r="M45">
        <v>1618418</v>
      </c>
      <c r="N45" t="str">
        <f>""</f>
        <v/>
      </c>
      <c r="O45" t="str">
        <f>""</f>
        <v/>
      </c>
      <c r="P45" t="str">
        <f t="shared" si="10"/>
        <v>Payroll Period-End Reports</v>
      </c>
      <c r="Q45" s="19" t="str">
        <f>""</f>
        <v/>
      </c>
      <c r="R45" s="20">
        <v>1.8</v>
      </c>
      <c r="S45" s="20">
        <v>0</v>
      </c>
      <c r="T45" s="21">
        <f t="shared" si="8"/>
        <v>1.8</v>
      </c>
    </row>
    <row r="46" spans="1:20" x14ac:dyDescent="0.25">
      <c r="A46" s="1" t="s">
        <v>24</v>
      </c>
      <c r="B46" s="16"/>
      <c r="C46" s="16"/>
      <c r="F46" s="16" t="e">
        <f t="shared" si="9"/>
        <v>#REF!</v>
      </c>
      <c r="G46" s="16" t="e">
        <f t="shared" si="9"/>
        <v>#REF!</v>
      </c>
      <c r="H46" s="17"/>
      <c r="K46" t="str">
        <f>"""GP"",""Ute Indian Tribe Membership Fund"",""Jet GL Transactions"",""Account Category Description"",""Other Expenses"",""Account Category Number"",""42"",""Account Description"",""Fringe Benefits - Taxes"",""Account Index"",""2551"",""Account Number"",""5021-0-6110-0000"",""Credit"&amp;" Amount"",""0.00000"",""Debit Amount"",""2.61000"",""Document Date"",""1/1/1900"",""Document Number"",""000000112942"",""Document Sequence"",""114688"",""Period ID"",""10"",""Posting Type"",""Profit and Loss"",""Reference"",""Payroll Computer Checks"",""Row ID"",""5442416"",""Segment 1"",""50"&amp;"21"",""Segment 1 Description"",""Uinta River High School"",""Segment 10"","""",""Segment 10 Description"","""",""Segment 2"",""0"",""Segment 2 Description"","""",""Segment 3"",""6110"",""Segment 3 Description"","""",""Segment 4"",""0000"",""Segment 4 Description"","""",""Segment 5"","""",""Segmen"&amp;"t 5 Description"","""",""Segment 6"","""",""Segment 6 Description"","""",""Segment 7"","""",""Segment 7 Description"","""",""Segment 8"","""",""Segment 8 Description"","""",""Segment 9"","""",""Segment 9 Description"","""",""Transaction Amount"",""2.61000"",""Transaction Date"",""7/17/2025"",""Tran"&amp;"saction Description"","""",""Vendor Name"",""LAUB, REBECCA"",""Vendor Number"",""2772"",""Journal Entry"",""1614996"""</f>
        <v>"GP","Ute Indian Tribe Membership Fund","Jet GL Transactions","Account Category Description","Other Expenses","Account Category Number","42","Account Description","Fringe Benefits - Taxes","Account Index","2551","Account Number","5021-0-6110-0000","Credit Amount","0.00000","Debit Amount","2.61000","Document Date","1/1/1900","Document Number","000000112942","Document Sequence","114688","Period ID","10","Posting Type","Profit and Loss","Reference","Payroll Computer Checks","Row ID","5442416","Segment 1","5021","Segment 1 Description","Uinta River High School","Segment 10","","Segment 10 Description","","Segment 2","0","Segment 2 Description","","Segment 3","6110","Segment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Amount","2.61000","Transaction Date","7/17/2025","Transaction Description","","Vendor Name","LAUB, REBECCA","Vendor Number","2772","Journal Entry","1614996"</v>
      </c>
      <c r="L46" s="18">
        <v>45855</v>
      </c>
      <c r="M46">
        <v>1614996</v>
      </c>
      <c r="N46" t="str">
        <f>"Payroll Check"</f>
        <v>Payroll Check</v>
      </c>
      <c r="O46" t="str">
        <f>"000000112942"</f>
        <v>000000112942</v>
      </c>
      <c r="P46" t="str">
        <f>"Payroll Computer Checks"</f>
        <v>Payroll Computer Checks</v>
      </c>
      <c r="Q46" s="19" t="str">
        <f>""</f>
        <v/>
      </c>
      <c r="R46" s="20">
        <v>2.61</v>
      </c>
      <c r="S46" s="20">
        <v>0</v>
      </c>
      <c r="T46" s="21">
        <f t="shared" si="8"/>
        <v>2.61</v>
      </c>
    </row>
    <row r="47" spans="1:20" x14ac:dyDescent="0.25">
      <c r="A47" s="1" t="s">
        <v>24</v>
      </c>
      <c r="B47" s="16"/>
      <c r="C47" s="16"/>
      <c r="F47" s="16" t="e">
        <f t="shared" si="9"/>
        <v>#REF!</v>
      </c>
      <c r="G47" s="16" t="e">
        <f t="shared" si="9"/>
        <v>#REF!</v>
      </c>
      <c r="H47" s="17"/>
      <c r="K47" t="str">
        <f>"""GP"",""Ute Indian Tribe Membership Fund"",""Jet GL Transactions"",""Account Category Description"",""Other Expenses"",""Account Category Number"",""42"",""Account Description"",""Fringe Benefits - Taxes"",""Account Index"",""2551"",""Account Number"",""5021-0-6110-0000"",""Credit"&amp;" Amount"",""0.00000"",""Debit Amount"",""11.16000"",""Document Date"",""1/1/1900"",""Document Number"",""000000112942"",""Document Sequence"",""65536"",""Period ID"",""10"",""Posting Type"",""Profit and Loss"",""Reference"",""Payroll Computer Checks"",""Row ID"",""5442415"",""Segment 1"",""50"&amp;"21"",""Segment 1 Description"",""Uinta River High School"",""Segment 10"","""",""Segment 10 Description"","""",""Segment 2"",""0"",""Segment 2 Description"","""",""Segment 3"",""6110"",""Segment 3 Description"","""",""Segment 4"",""0000"",""Segment 4 Description"","""",""Segment 5"","""",""Segmen"&amp;"t 5 Description"","""",""Segment 6"","""",""Segment 6 Description"","""",""Segment 7"","""",""Segment 7 Description"","""",""Segment 8"","""",""Segment 8 Description"","""",""Segment 9"","""",""Segment 9 Description"","""",""Transaction Amount"",""11.16000"",""Transaction Date"",""7/17/2025"",""Tra"&amp;"nsaction Description"","""",""Vendor Name"",""LAUB, REBECCA"",""Vendor Number"",""2772"",""Journal Entry"",""1614996"""</f>
        <v>"GP","Ute Indian Tribe Membership Fund","Jet GL Transactions","Account Category Description","Other Expenses","Account Category Number","42","Account Description","Fringe Benefits - Taxes","Account Index","2551","Account Number","5021-0-6110-0000","Credit Amount","0.00000","Debit Amount","11.16000","Document Date","1/1/1900","Document Number","000000112942","Document Sequence","65536","Period ID","10","Posting Type","Profit and Loss","Reference","Payroll Computer Checks","Row ID","5442415","Segment 1","5021","Segment 1 Description","Uinta River High School","Segment 10","","Segment 10 Description","","Segment 2","0","Segment 2 Description","","Segment 3","6110","Segment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Amount","11.16000","Transaction Date","7/17/2025","Transaction Description","","Vendor Name","LAUB, REBECCA","Vendor Number","2772","Journal Entry","1614996"</v>
      </c>
      <c r="L47" s="18">
        <v>45855</v>
      </c>
      <c r="M47">
        <v>1614996</v>
      </c>
      <c r="N47" t="str">
        <f>"Payroll Check"</f>
        <v>Payroll Check</v>
      </c>
      <c r="O47" t="str">
        <f>"000000112942"</f>
        <v>000000112942</v>
      </c>
      <c r="P47" t="str">
        <f>"Payroll Computer Checks"</f>
        <v>Payroll Computer Checks</v>
      </c>
      <c r="Q47" s="19" t="str">
        <f>""</f>
        <v/>
      </c>
      <c r="R47" s="20">
        <v>11.16</v>
      </c>
      <c r="S47" s="20">
        <v>0</v>
      </c>
      <c r="T47" s="21">
        <f t="shared" si="8"/>
        <v>11.16</v>
      </c>
    </row>
    <row r="48" spans="1:20" x14ac:dyDescent="0.25">
      <c r="A48" s="1" t="s">
        <v>24</v>
      </c>
      <c r="B48" s="16"/>
      <c r="C48" s="16"/>
      <c r="F48" s="16" t="e">
        <f t="shared" si="9"/>
        <v>#REF!</v>
      </c>
      <c r="G48" s="16" t="e">
        <f t="shared" si="9"/>
        <v>#REF!</v>
      </c>
      <c r="H48" s="17"/>
      <c r="K48" t="str">
        <f>"""GP"",""Ute Indian Tribe Membership Fund"",""Jet GL Transactions"",""Account Category Description"",""Other Expenses"",""Account Category Number"",""42"",""Account Description"",""Fringe Benefits - Taxes"",""Account Index"",""2551"",""Account Number"",""5021-0-6110-0000"",""Credit"&amp;" Amount"",""0.00000"",""Debit Amount"",""15.79000"",""Document Date"",""1/1/1900"",""Document Number"","""",""Document Sequence"",""2654208"",""Period ID"",""10"",""Posting Type"",""Profit and Loss"",""Reference"",""Payroll Period-End Reports"",""Row ID"",""5463190"",""Segment 1"",""5021"",""Se"&amp;"gment 1 Description"",""Uinta River High School"",""Segment 10"","""",""Segment 10 Description"","""",""Segment 2"",""0"",""Segment 2 Description"","""",""Segment 3"",""6110"",""Segment 3 Description"","""",""Segment 4"",""0000"",""Segment 4 Description"","""",""Segment 5"","""",""Segment 5 Des"&amp;"cription"","""",""Segment 6"","""",""Segment 6 Description"","""",""Segment 7"","""",""Segment 7 Description"","""",""Segment 8"","""",""Segment 8 Description"","""",""Segment 9"","""",""Segment 9 Description"","""",""Transaction Amount"",""15.79000"",""Transaction Date"",""7/17/2025"",""Transactio"&amp;"n Description"","""",""Vendor Name"","""",""Vendor Number"","""",""Journal Entry"",""1618418"""</f>
        <v>"GP","Ute Indian Tribe Membership Fund","Jet GL Transactions","Account Category Description","Other Expenses","Account Category Number","42","Account Description","Fringe Benefits - Taxes","Account Index","2551","Account Number","5021-0-6110-0000","Credit Amount","0.00000","Debit Amount","15.79000","Document Date","1/1/1900","Document Number","","Document Sequence","2654208","Period ID","10","Posting Type","Profit and Loss","Reference","Payroll Period-End Reports","Row ID","5463190","Segment 1","5021","Segment 1 Description","Uinta River High School","Segment 10","","Segment 10 Description","","Segment 2","0","Segment 2 Description","","Segment 3","6110","Segment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Amount","15.79000","Transaction Date","7/17/2025","Transaction Description","","Vendor Name","","Vendor Number","","Journal Entry","1618418"</v>
      </c>
      <c r="L48" s="18">
        <v>45855</v>
      </c>
      <c r="M48">
        <v>1618418</v>
      </c>
      <c r="N48" t="str">
        <f>""</f>
        <v/>
      </c>
      <c r="O48" t="str">
        <f>""</f>
        <v/>
      </c>
      <c r="P48" t="str">
        <f>"Payroll Period-End Reports"</f>
        <v>Payroll Period-End Reports</v>
      </c>
      <c r="Q48" s="19" t="str">
        <f>""</f>
        <v/>
      </c>
      <c r="R48" s="20">
        <v>15.79</v>
      </c>
      <c r="S48" s="20">
        <v>0</v>
      </c>
      <c r="T48" s="21">
        <f t="shared" si="8"/>
        <v>15.79</v>
      </c>
    </row>
    <row r="49" spans="1:20" x14ac:dyDescent="0.25">
      <c r="A49" s="1" t="s">
        <v>24</v>
      </c>
      <c r="B49" s="16"/>
      <c r="C49" s="16"/>
      <c r="F49" s="16" t="e">
        <f t="shared" si="9"/>
        <v>#REF!</v>
      </c>
      <c r="G49" s="16" t="e">
        <f t="shared" si="9"/>
        <v>#REF!</v>
      </c>
      <c r="H49" s="17"/>
      <c r="K49" t="str">
        <f>"""GP"",""Ute Indian Tribe Membership Fund"",""Jet GL Transactions"",""Account Category Description"",""Other Expenses"",""Account Category Number"",""42"",""Account Description"",""Fringe Benefits - Taxes"",""Account Index"",""2551"",""Account Number"",""5021-0-6110-0000"",""Credit"&amp;" Amount"",""0.00000"",""Debit Amount"",""18.16000"",""Document Date"",""1/1/1900"",""Document Number"","""",""Document Sequence"",""13418496"",""Period ID"",""10"",""Posting Type"",""Profit and Loss"",""Reference"",""Payroll Period-End Reports"",""Row ID"",""5463192"",""Segment 1"",""5021"",""S"&amp;"egment 1 Description"",""Uinta River High School"",""Segment 10"","""",""Segment 10 Description"","""",""Segment 2"",""0"",""Segment 2 Description"","""",""Segment 3"",""6110"",""Segment 3 Description"","""",""Segment 4"",""0000"",""Segment 4 Description"","""",""Segment 5"","""",""Segment 5 De"&amp;"scription"","""",""Segment 6"","""",""Segment 6 Description"","""",""Segment 7"","""",""Segment 7 Description"","""",""Segment 8"","""",""Segment 8 Description"","""",""Segment 9"","""",""Segment 9 Description"","""",""Transaction Amount"",""18.16000"",""Transaction Date"",""7/17/2025"",""Transacti"&amp;"on Description"","""",""Vendor Name"","""",""Vendor Number"","""",""Journal Entry"",""1618418"""</f>
        <v>"GP","Ute Indian Tribe Membership Fund","Jet GL Transactions","Account Category Description","Other Expenses","Account Category Number","42","Account Description","Fringe Benefits - Taxes","Account Index","2551","Account Number","5021-0-6110-0000","Credit Amount","0.00000","Debit Amount","18.16000","Document Date","1/1/1900","Document Number","","Document Sequence","13418496","Period ID","10","Posting Type","Profit and Loss","Reference","Payroll Period-End Reports","Row ID","5463192","Segment 1","5021","Segment 1 Description","Uinta River High School","Segment 10","","Segment 10 Description","","Segment 2","0","Segment 2 Description","","Segment 3","6110","Segment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Amount","18.16000","Transaction Date","7/17/2025","Transaction Description","","Vendor Name","","Vendor Number","","Journal Entry","1618418"</v>
      </c>
      <c r="L49" s="18">
        <v>45855</v>
      </c>
      <c r="M49">
        <v>1618418</v>
      </c>
      <c r="N49" t="str">
        <f>""</f>
        <v/>
      </c>
      <c r="O49" t="str">
        <f>""</f>
        <v/>
      </c>
      <c r="P49" t="str">
        <f>"Payroll Period-End Reports"</f>
        <v>Payroll Period-End Reports</v>
      </c>
      <c r="Q49" s="19" t="str">
        <f>""</f>
        <v/>
      </c>
      <c r="R49" s="20">
        <v>18.16</v>
      </c>
      <c r="S49" s="20">
        <v>0</v>
      </c>
      <c r="T49" s="21">
        <f t="shared" si="8"/>
        <v>18.16</v>
      </c>
    </row>
    <row r="50" spans="1:20" x14ac:dyDescent="0.25">
      <c r="A50" s="1" t="s">
        <v>24</v>
      </c>
      <c r="B50" s="16"/>
      <c r="C50" s="16"/>
      <c r="F50" s="16" t="e">
        <f t="shared" si="9"/>
        <v>#REF!</v>
      </c>
      <c r="G50" s="16" t="e">
        <f t="shared" si="9"/>
        <v>#REF!</v>
      </c>
      <c r="H50" s="17"/>
      <c r="K50" t="str">
        <f>"""GP"",""Ute Indian Tribe Membership Fund"",""Jet GL Transactions"",""Account Category Description"",""Other Expenses"",""Account Category Number"",""42"",""Account Description"",""Fringe Benefits - Taxes"",""Account Index"",""2551"",""Account Number"",""5021-0-6110-0000"",""Credit"&amp;" Amount"",""0.00000"",""Debit Amount"",""24.22000"",""Document Date"",""1/1/1900"",""Document Number"",""DD000000000000145291"",""Document Sequence"",""131072"",""Period ID"",""10"",""Posting Type"",""Profit and Loss"",""Reference"",""Payroll Computer Checks"",""Row ID"",""5445055"",""Segme"&amp;"nt 1"",""5021"",""Segment 1 Description"",""Uinta River High School"",""Segment 10"","""",""Segment 10 Description"","""",""Segment 2"",""0"",""Segment 2 Description"","""",""Segment 3"",""6110"",""Segment 3 Description"","""",""Segment 4"",""0000"",""Segment 4 Description"","""",""Segment 5"","""&amp;""",""Segment 5 Description"","""",""Segment 6"","""",""Segment 6 Description"","""",""Segment 7"","""",""Segment 7 Description"","""",""Segment 8"","""",""Segment 8 Description"","""",""Segment 9"","""",""Segment 9 Description"","""",""Transaction Amount"",""24.22000"",""Transaction Date"",""7/17/2"&amp;"025"",""Transaction Description"","""",""Vendor Name"",""ESPLIN, TAMMIE A."",""Vendor Number"",""927"",""Journal Entry"",""1615158"""</f>
        <v>"GP","Ute Indian Tribe Membership Fund","Jet GL Transactions","Account Category Description","Other Expenses","Account Category Number","42","Account Description","Fringe Benefits - Taxes","Account Index","2551","Account Number","5021-0-6110-0000","Credit Amount","0.00000","Debit Amount","24.22000","Document Date","1/1/1900","Document Number","DD000000000000145291","Document Sequence","131072","Period ID","10","Posting Type","Profit and Loss","Reference","Payroll Computer Checks","Row ID","5445055","Segment 1","5021","Segment 1 Description","Uinta River High School","Segment 10","","Segment 10 Description","","Segment 2","0","Segment 2 Description","","Segment 3","6110","Segment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Amount","24.22000","Transaction Date","7/17/2025","Transaction Description","","Vendor Name","ESPLIN, TAMMIE A.","Vendor Number","927","Journal Entry","1615158"</v>
      </c>
      <c r="L50" s="18">
        <v>45855</v>
      </c>
      <c r="M50">
        <v>1615158</v>
      </c>
      <c r="N50" t="str">
        <f>"Payroll Check"</f>
        <v>Payroll Check</v>
      </c>
      <c r="O50" t="str">
        <f>"DD000000000000145291"</f>
        <v>DD000000000000145291</v>
      </c>
      <c r="P50" t="str">
        <f>"Payroll Computer Checks"</f>
        <v>Payroll Computer Checks</v>
      </c>
      <c r="Q50" s="19" t="str">
        <f>""</f>
        <v/>
      </c>
      <c r="R50" s="20">
        <v>24.22</v>
      </c>
      <c r="S50" s="20">
        <v>0</v>
      </c>
      <c r="T50" s="21">
        <f t="shared" si="8"/>
        <v>24.22</v>
      </c>
    </row>
    <row r="51" spans="1:20" x14ac:dyDescent="0.25">
      <c r="A51" s="1" t="s">
        <v>24</v>
      </c>
      <c r="B51" s="16"/>
      <c r="C51" s="16"/>
      <c r="F51" s="16" t="e">
        <f t="shared" si="9"/>
        <v>#REF!</v>
      </c>
      <c r="G51" s="16" t="e">
        <f t="shared" si="9"/>
        <v>#REF!</v>
      </c>
      <c r="H51" s="17"/>
      <c r="K51" t="str">
        <f>"""GP"",""Ute Indian Tribe Membership Fund"",""Jet GL Transactions"",""Account Category Description"",""Other Expenses"",""Account Category Number"",""42"",""Account Description"",""Fringe Benefits - Taxes"",""Account Index"",""2551"",""Account Number"",""5021-0-6110-0000"",""Credit"&amp;" Amount"",""0.00000"",""Debit Amount"",""103.54000"",""Document Date"",""1/1/1900"",""Document Number"",""DD000000000000145291"",""Document Sequence"",""81920"",""Period ID"",""10"",""Posting Type"",""Profit and Loss"",""Reference"",""Payroll Computer Checks"",""Row ID"",""5445054"",""Segme"&amp;"nt 1"",""5021"",""Segment 1 Description"",""Uinta River High School"",""Segment 10"","""",""Segment 10 Description"","""",""Segment 2"",""0"",""Segment 2 Description"","""",""Segment 3"",""6110"",""Segment 3 Description"","""",""Segment 4"",""0000"",""Segment 4 Description"","""",""Segment 5"","""&amp;""",""Segment 5 Description"","""",""Segment 6"","""",""Segment 6 Description"","""",""Segment 7"","""",""Segment 7 Description"","""",""Segment 8"","""",""Segment 8 Description"","""",""Segment 9"","""",""Segment 9 Description"","""",""Transaction Amount"",""103.54000"",""Transaction Date"",""7/17/"&amp;"2025"",""Transaction Description"","""",""Vendor Name"",""ESPLIN, TAMMIE A."",""Vendor Number"",""927"",""Journal Entry"",""1615158"""</f>
        <v>"GP","Ute Indian Tribe Membership Fund","Jet GL Transactions","Account Category Description","Other Expenses","Account Category Number","42","Account Description","Fringe Benefits - Taxes","Account Index","2551","Account Number","5021-0-6110-0000","Credit Amount","0.00000","Debit Amount","103.54000","Document Date","1/1/1900","Document Number","DD000000000000145291","Document Sequence","81920","Period ID","10","Posting Type","Profit and Loss","Reference","Payroll Computer Checks","Row ID","5445054","Segment 1","5021","Segment 1 Description","Uinta River High School","Segment 10","","Segment 10 Description","","Segment 2","0","Segment 2 Description","","Segment 3","6110","Segment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Amount","103.54000","Transaction Date","7/17/2025","Transaction Description","","Vendor Name","ESPLIN, TAMMIE A.","Vendor Number","927","Journal Entry","1615158"</v>
      </c>
      <c r="L51" s="18">
        <v>45855</v>
      </c>
      <c r="M51">
        <v>1615158</v>
      </c>
      <c r="N51" t="str">
        <f>"Payroll Check"</f>
        <v>Payroll Check</v>
      </c>
      <c r="O51" t="str">
        <f>"DD000000000000145291"</f>
        <v>DD000000000000145291</v>
      </c>
      <c r="P51" t="str">
        <f>"Payroll Computer Checks"</f>
        <v>Payroll Computer Checks</v>
      </c>
      <c r="Q51" s="19" t="str">
        <f>""</f>
        <v/>
      </c>
      <c r="R51" s="20">
        <v>103.54</v>
      </c>
      <c r="S51" s="20">
        <v>0</v>
      </c>
      <c r="T51" s="21">
        <f t="shared" si="8"/>
        <v>103.54</v>
      </c>
    </row>
    <row r="52" spans="1:20" x14ac:dyDescent="0.25">
      <c r="A52" s="1" t="s">
        <v>24</v>
      </c>
      <c r="B52" s="16"/>
      <c r="C52" s="16"/>
      <c r="F52" s="16" t="e">
        <f t="shared" si="9"/>
        <v>#REF!</v>
      </c>
      <c r="G52" s="16" t="e">
        <f t="shared" si="9"/>
        <v>#REF!</v>
      </c>
      <c r="H52" s="17"/>
      <c r="K52" t="str">
        <f>"""GP"",""Ute Indian Tribe Membership Fund"",""Jet GL Transactions"",""Account Category Description"",""Other Expenses"",""Account Category Number"",""42"",""Account Description"",""Fringe Benefits - Taxes"",""Account Index"",""2551"",""Account Number"",""5021-0-6110-0000"",""Credit"&amp;" Amount"",""0.00000"",""Debit Amount"",""15.79000"",""Document Date"",""1/1/1900"",""Document Number"","""",""Document Sequence"",""2572288"",""Period ID"",""10"",""Posting Type"",""Profit and Loss"",""Reference"",""Payroll Period-End Reports"",""Row ID"",""5465181"",""Segment 1"",""5021"",""Se"&amp;"gment 1 Description"",""Uinta River High School"",""Segment 10"","""",""Segment 10 Description"","""",""Segment 2"",""0"",""Segment 2 Description"","""",""Segment 3"",""6110"",""Segment 3 Description"","""",""Segment 4"",""0000"",""Segment 4 Description"","""",""Segment 5"","""",""Segment 5 Des"&amp;"cription"","""",""Segment 6"","""",""Segment 6 Description"","""",""Segment 7"","""",""Segment 7 Description"","""",""Segment 8"","""",""Segment 8 Description"","""",""Segment 9"","""",""Segment 9 Description"","""",""Transaction Amount"",""15.79000"",""Transaction Date"",""7/31/2025"",""Transactio"&amp;"n Description"","""",""Vendor Name"","""",""Vendor Number"","""",""Journal Entry"",""1618419"""</f>
        <v>"GP","Ute Indian Tribe Membership Fund","Jet GL Transactions","Account Category Description","Other Expenses","Account Category Number","42","Account Description","Fringe Benefits - Taxes","Account Index","2551","Account Number","5021-0-6110-0000","Credit Amount","0.00000","Debit Amount","15.79000","Document Date","1/1/1900","Document Number","","Document Sequence","2572288","Period ID","10","Posting Type","Profit and Loss","Reference","Payroll Period-End Reports","Row ID","5465181","Segment 1","5021","Segment 1 Description","Uinta River High School","Segment 10","","Segment 10 Description","","Segment 2","0","Segment 2 Description","","Segment 3","6110","Segment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Amount","15.79000","Transaction Date","7/31/2025","Transaction Description","","Vendor Name","","Vendor Number","","Journal Entry","1618419"</v>
      </c>
      <c r="L52" s="18">
        <v>45869</v>
      </c>
      <c r="M52">
        <v>1618419</v>
      </c>
      <c r="N52" t="str">
        <f>""</f>
        <v/>
      </c>
      <c r="O52" t="str">
        <f>""</f>
        <v/>
      </c>
      <c r="P52" t="str">
        <f>"Payroll Period-End Reports"</f>
        <v>Payroll Period-End Reports</v>
      </c>
      <c r="Q52" s="19" t="str">
        <f>""</f>
        <v/>
      </c>
      <c r="R52" s="20">
        <v>15.79</v>
      </c>
      <c r="S52" s="20">
        <v>0</v>
      </c>
      <c r="T52" s="21">
        <f t="shared" si="8"/>
        <v>15.79</v>
      </c>
    </row>
    <row r="53" spans="1:20" x14ac:dyDescent="0.25">
      <c r="A53" s="1" t="s">
        <v>24</v>
      </c>
      <c r="B53" s="16"/>
      <c r="C53" s="16"/>
      <c r="F53" s="16" t="e">
        <f t="shared" si="9"/>
        <v>#REF!</v>
      </c>
      <c r="G53" s="16" t="e">
        <f t="shared" si="9"/>
        <v>#REF!</v>
      </c>
      <c r="H53" s="17"/>
      <c r="K53" t="str">
        <f>"""GP"",""Ute Indian Tribe Membership Fund"",""Jet GL Transactions"",""Account Category Description"",""Other Expenses"",""Account Category Number"",""42"",""Account Description"",""Fringe Benefits - Taxes"",""Account Index"",""2551"",""Account Number"",""5021-0-6110-0000"",""Credit"&amp;" Amount"",""0.00000"",""Debit Amount"",""18.16000"",""Document Date"",""1/1/1900"",""Document Number"","""",""Document Sequence"",""13205504"",""Period ID"",""10"",""Posting Type"",""Profit and Loss"",""Reference"",""Payroll Period-End Reports"",""Row ID"",""5465182"",""Segment 1"",""5021"",""S"&amp;"egment 1 Description"",""Uinta River High School"",""Segment 10"","""",""Segment 10 Description"","""",""Segment 2"",""0"",""Segment 2 Description"","""",""Segment 3"",""6110"",""Segment 3 Description"","""",""Segment 4"",""0000"",""Segment 4 Description"","""",""Segment 5"","""",""Segment 5 De"&amp;"scription"","""",""Segment 6"","""",""Segment 6 Description"","""",""Segment 7"","""",""Segment 7 Description"","""",""Segment 8"","""",""Segment 8 Description"","""",""Segment 9"","""",""Segment 9 Description"","""",""Transaction Amount"",""18.16000"",""Transaction Date"",""7/31/2025"",""Transacti"&amp;"on Description"","""",""Vendor Name"","""",""Vendor Number"","""",""Journal Entry"",""1618419"""</f>
        <v>"GP","Ute Indian Tribe Membership Fund","Jet GL Transactions","Account Category Description","Other Expenses","Account Category Number","42","Account Description","Fringe Benefits - Taxes","Account Index","2551","Account Number","5021-0-6110-0000","Credit Amount","0.00000","Debit Amount","18.16000","Document Date","1/1/1900","Document Number","","Document Sequence","13205504","Period ID","10","Posting Type","Profit and Loss","Reference","Payroll Period-End Reports","Row ID","5465182","Segment 1","5021","Segment 1 Description","Uinta River High School","Segment 10","","Segment 10 Description","","Segment 2","0","Segment 2 Description","","Segment 3","6110","Segment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Amount","18.16000","Transaction Date","7/31/2025","Transaction Description","","Vendor Name","","Vendor Number","","Journal Entry","1618419"</v>
      </c>
      <c r="L53" s="18">
        <v>45869</v>
      </c>
      <c r="M53">
        <v>1618419</v>
      </c>
      <c r="N53" t="str">
        <f>""</f>
        <v/>
      </c>
      <c r="O53" t="str">
        <f>""</f>
        <v/>
      </c>
      <c r="P53" t="str">
        <f>"Payroll Period-End Reports"</f>
        <v>Payroll Period-End Reports</v>
      </c>
      <c r="Q53" s="19" t="str">
        <f>""</f>
        <v/>
      </c>
      <c r="R53" s="20">
        <v>18.16</v>
      </c>
      <c r="S53" s="20">
        <v>0</v>
      </c>
      <c r="T53" s="21">
        <f t="shared" si="8"/>
        <v>18.16</v>
      </c>
    </row>
    <row r="54" spans="1:20" x14ac:dyDescent="0.25">
      <c r="A54" s="1" t="s">
        <v>24</v>
      </c>
      <c r="B54" s="16"/>
      <c r="C54" s="16"/>
      <c r="F54" s="16" t="e">
        <f t="shared" si="9"/>
        <v>#REF!</v>
      </c>
      <c r="G54" s="16" t="e">
        <f t="shared" si="9"/>
        <v>#REF!</v>
      </c>
      <c r="H54" s="17"/>
      <c r="K54" t="str">
        <f>"""GP"",""Ute Indian Tribe Membership Fund"",""Jet GL Transactions"",""Account Category Description"",""Other Expenses"",""Account Category Number"",""42"",""Account Description"",""Fringe Benefits - Taxes"",""Account Index"",""2551"",""Account Number"",""5021-0-6110-0000"",""Credit"&amp;" Amount"",""0.00000"",""Debit Amount"",""24.21000"",""Document Date"",""1/1/1900"",""Document Number"",""DD000000000000145678"",""Document Sequence"",""131072"",""Period ID"",""10"",""Posting Type"",""Profit and Loss"",""Reference"",""Payroll Computer Checks"",""Row ID"",""5456147"",""Segme"&amp;"nt 1"",""5021"",""Segment 1 Description"",""Uinta River High School"",""Segment 10"","""",""Segment 10 Description"","""",""Segment 2"",""0"",""Segment 2 Description"","""",""Segment 3"",""6110"",""Segment 3 Description"","""",""Segment 4"",""0000"",""Segment 4 Description"","""",""Segment 5"","""&amp;""",""Segment 5 Description"","""",""Segment 6"","""",""Segment 6 Description"","""",""Segment 7"","""",""Segment 7 Description"","""",""Segment 8"","""",""Segment 8 Description"","""",""Segment 9"","""",""Segment 9 Description"","""",""Transaction Amount"",""24.21000"",""Transaction Date"",""7/31/2"&amp;"025"",""Transaction Description"","""",""Vendor Name"",""ESPLIN, TAMMIE A."",""Vendor Number"",""927"",""Journal Entry"",""1617078"""</f>
        <v>"GP","Ute Indian Tribe Membership Fund","Jet GL Transactions","Account Category Description","Other Expenses","Account Category Number","42","Account Description","Fringe Benefits - Taxes","Account Index","2551","Account Number","5021-0-6110-0000","Credit Amount","0.00000","Debit Amount","24.21000","Document Date","1/1/1900","Document Number","DD000000000000145678","Document Sequence","131072","Period ID","10","Posting Type","Profit and Loss","Reference","Payroll Computer Checks","Row ID","5456147","Segment 1","5021","Segment 1 Description","Uinta River High School","Segment 10","","Segment 10 Description","","Segment 2","0","Segment 2 Description","","Segment 3","6110","Segment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Amount","24.21000","Transaction Date","7/31/2025","Transaction Description","","Vendor Name","ESPLIN, TAMMIE A.","Vendor Number","927","Journal Entry","1617078"</v>
      </c>
      <c r="L54" s="18">
        <v>45869</v>
      </c>
      <c r="M54">
        <v>1617078</v>
      </c>
      <c r="N54" t="str">
        <f t="shared" ref="N54:N59" si="11">"Payroll Check"</f>
        <v>Payroll Check</v>
      </c>
      <c r="O54" t="str">
        <f>"DD000000000000145678"</f>
        <v>DD000000000000145678</v>
      </c>
      <c r="P54" t="str">
        <f t="shared" ref="P54:P59" si="12">"Payroll Computer Checks"</f>
        <v>Payroll Computer Checks</v>
      </c>
      <c r="Q54" s="19" t="str">
        <f>""</f>
        <v/>
      </c>
      <c r="R54" s="20">
        <v>24.21</v>
      </c>
      <c r="S54" s="20">
        <v>0</v>
      </c>
      <c r="T54" s="21">
        <f t="shared" si="8"/>
        <v>24.21</v>
      </c>
    </row>
    <row r="55" spans="1:20" x14ac:dyDescent="0.25">
      <c r="A55" s="1" t="s">
        <v>24</v>
      </c>
      <c r="B55" s="16"/>
      <c r="C55" s="16"/>
      <c r="F55" s="16" t="e">
        <f t="shared" si="9"/>
        <v>#REF!</v>
      </c>
      <c r="G55" s="16" t="e">
        <f t="shared" si="9"/>
        <v>#REF!</v>
      </c>
      <c r="H55" s="17"/>
      <c r="K55" t="str">
        <f>"""GP"",""Ute Indian Tribe Membership Fund"",""Jet GL Transactions"",""Account Category Description"",""Other Expenses"",""Account Category Number"",""42"",""Account Description"",""Fringe Benefits - Taxes"",""Account Index"",""2551"",""Account Number"",""5021-0-6110-0000"",""Credit"&amp;" Amount"",""0.00000"",""Debit Amount"",""103.55000"",""Document Date"",""1/1/1900"",""Document Number"",""DD000000000000145678"",""Document Sequence"",""81920"",""Period ID"",""10"",""Posting Type"",""Profit and Loss"",""Reference"",""Payroll Computer Checks"",""Row ID"",""5456146"",""Segme"&amp;"nt 1"",""5021"",""Segment 1 Description"",""Uinta River High School"",""Segment 10"","""",""Segment 10 Description"","""",""Segment 2"",""0"",""Segment 2 Description"","""",""Segment 3"",""6110"",""Segment 3 Description"","""",""Segment 4"",""0000"",""Segment 4 Description"","""",""Segment 5"","""&amp;""",""Segment 5 Description"","""",""Segment 6"","""",""Segment 6 Description"","""",""Segment 7"","""",""Segment 7 Description"","""",""Segment 8"","""",""Segment 8 Description"","""",""Segment 9"","""",""Segment 9 Description"","""",""Transaction Amount"",""103.55000"",""Transaction Date"",""7/31/"&amp;"2025"",""Transaction Description"","""",""Vendor Name"",""ESPLIN, TAMMIE A."",""Vendor Number"",""927"",""Journal Entry"",""1617078"""</f>
        <v>"GP","Ute Indian Tribe Membership Fund","Jet GL Transactions","Account Category Description","Other Expenses","Account Category Number","42","Account Description","Fringe Benefits - Taxes","Account Index","2551","Account Number","5021-0-6110-0000","Credit Amount","0.00000","Debit Amount","103.55000","Document Date","1/1/1900","Document Number","DD000000000000145678","Document Sequence","81920","Period ID","10","Posting Type","Profit and Loss","Reference","Payroll Computer Checks","Row ID","5456146","Segment 1","5021","Segment 1 Description","Uinta River High School","Segment 10","","Segment 10 Description","","Segment 2","0","Segment 2 Description","","Segment 3","6110","Segment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Amount","103.55000","Transaction Date","7/31/2025","Transaction Description","","Vendor Name","ESPLIN, TAMMIE A.","Vendor Number","927","Journal Entry","1617078"</v>
      </c>
      <c r="L55" s="18">
        <v>45869</v>
      </c>
      <c r="M55">
        <v>1617078</v>
      </c>
      <c r="N55" t="str">
        <f t="shared" si="11"/>
        <v>Payroll Check</v>
      </c>
      <c r="O55" t="str">
        <f>"DD000000000000145678"</f>
        <v>DD000000000000145678</v>
      </c>
      <c r="P55" t="str">
        <f t="shared" si="12"/>
        <v>Payroll Computer Checks</v>
      </c>
      <c r="Q55" s="19" t="str">
        <f>""</f>
        <v/>
      </c>
      <c r="R55" s="20">
        <v>103.55</v>
      </c>
      <c r="S55" s="20">
        <v>0</v>
      </c>
      <c r="T55" s="21">
        <f t="shared" si="8"/>
        <v>103.55</v>
      </c>
    </row>
    <row r="56" spans="1:20" x14ac:dyDescent="0.25">
      <c r="A56" s="1" t="s">
        <v>24</v>
      </c>
      <c r="B56" s="16"/>
      <c r="C56" s="16"/>
      <c r="F56" s="16" t="e">
        <f t="shared" si="9"/>
        <v>#REF!</v>
      </c>
      <c r="G56" s="16" t="e">
        <f t="shared" si="9"/>
        <v>#REF!</v>
      </c>
      <c r="H56" s="17"/>
      <c r="K56" t="str">
        <f>"""GP"",""Ute Indian Tribe Membership Fund"",""Jet GL Transactions"",""Account Category Description"",""Other Expenses"",""Account Category Number"",""42"",""Account Description"",""Fringe Benefits - Taxes"",""Account Index"",""2551"",""Account Number"",""5021-0-6110-0000"",""Credit"&amp;" Amount"",""0.00000"",""Debit Amount"",""9.42000"",""Document Date"",""1/1/1900"",""Document Number"",""000000113125"",""Document Sequence"",""114688"",""Period ID"",""11"",""Posting Type"",""Profit and Loss"",""Reference"",""Payroll Computer Checks"",""Row ID"",""5471666"",""Segment 1"",""50"&amp;"21"",""Segment 1 Description"",""Uinta River High School"",""Segment 10"","""",""Segment 10 Description"","""",""Segment 2"",""0"",""Segment 2 Description"","""",""Segment 3"",""6110"",""Segment 3 Description"","""",""Segment 4"",""0000"",""Segment 4 Description"","""",""Segment 5"","""",""Segmen"&amp;"t 5 Description"","""",""Segment 6"","""",""Segment 6 Description"","""",""Segment 7"","""",""Segment 7 Description"","""",""Segment 8"","""",""Segment 8 Description"","""",""Segment 9"","""",""Segment 9 Description"","""",""Transaction Amount"",""9.42000"",""Transaction Date"",""8/14/2025"",""Tran"&amp;"saction Description"","""",""Vendor Name"",""LAUB, REBECCA"",""Vendor Number"",""2772"",""Journal Entry"",""1619819"""</f>
        <v>"GP","Ute Indian Tribe Membership Fund","Jet GL Transactions","Account Category Description","Other Expenses","Account Category Number","42","Account Description","Fringe Benefits - Taxes","Account Index","2551","Account Number","5021-0-6110-0000","Credit Amount","0.00000","Debit Amount","9.42000","Document Date","1/1/1900","Document Number","000000113125","Document Sequence","114688","Period ID","11","Posting Type","Profit and Loss","Reference","Payroll Computer Checks","Row ID","5471666","Segment 1","5021","Segment 1 Description","Uinta River High School","Segment 10","","Segment 10 Description","","Segment 2","0","Segment 2 Description","","Segment 3","6110","Segment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Amount","9.42000","Transaction Date","8/14/2025","Transaction Description","","Vendor Name","LAUB, REBECCA","Vendor Number","2772","Journal Entry","1619819"</v>
      </c>
      <c r="L56" s="18">
        <v>45883</v>
      </c>
      <c r="M56">
        <v>1619819</v>
      </c>
      <c r="N56" t="str">
        <f t="shared" si="11"/>
        <v>Payroll Check</v>
      </c>
      <c r="O56" t="str">
        <f>"000000113125"</f>
        <v>000000113125</v>
      </c>
      <c r="P56" t="str">
        <f t="shared" si="12"/>
        <v>Payroll Computer Checks</v>
      </c>
      <c r="Q56" s="19" t="str">
        <f>""</f>
        <v/>
      </c>
      <c r="R56" s="20">
        <v>9.42</v>
      </c>
      <c r="S56" s="20">
        <v>0</v>
      </c>
      <c r="T56" s="21">
        <f t="shared" si="8"/>
        <v>9.42</v>
      </c>
    </row>
    <row r="57" spans="1:20" x14ac:dyDescent="0.25">
      <c r="A57" s="1" t="s">
        <v>24</v>
      </c>
      <c r="B57" s="16"/>
      <c r="C57" s="16"/>
      <c r="F57" s="16" t="e">
        <f t="shared" si="9"/>
        <v>#REF!</v>
      </c>
      <c r="G57" s="16" t="e">
        <f t="shared" si="9"/>
        <v>#REF!</v>
      </c>
      <c r="H57" s="17"/>
      <c r="K57" t="str">
        <f>"""GP"",""Ute Indian Tribe Membership Fund"",""Jet GL Transactions"",""Account Category Description"",""Other Expenses"",""Account Category Number"",""42"",""Account Description"",""Fringe Benefits - Taxes"",""Account Index"",""2551"",""Account Number"",""5021-0-6110-0000"",""Credit"&amp;" Amount"",""0.00000"",""Debit Amount"",""24.22000"",""Document Date"",""1/1/1900"",""Document Number"",""DD000000000000146067"",""Document Sequence"",""131072"",""Period ID"",""11"",""Posting Type"",""Profit and Loss"",""Reference"",""Payroll Computer Checks"",""Row ID"",""5474238"",""Segme"&amp;"nt 1"",""5021"",""Segment 1 Description"",""Uinta River High School"",""Segment 10"","""",""Segment 10 Description"","""",""Segment 2"",""0"",""Segment 2 Description"","""",""Segment 3"",""6110"",""Segment 3 Description"","""",""Segment 4"",""0000"",""Segment 4 Description"","""",""Segment 5"","""&amp;""",""Segment 5 Description"","""",""Segment 6"","""",""Segment 6 Description"","""",""Segment 7"","""",""Segment 7 Description"","""",""Segment 8"","""",""Segment 8 Description"","""",""Segment 9"","""",""Segment 9 Description"","""",""Transaction Amount"",""24.22000"",""Transaction Date"",""8/14/2"&amp;"025"",""Transaction Description"","""",""Vendor Name"",""ESPLIN, TAMMIE A."",""Vendor Number"",""927"",""Journal Entry"",""1619971"""</f>
        <v>"GP","Ute Indian Tribe Membership Fund","Jet GL Transactions","Account Category Description","Other Expenses","Account Category Number","42","Account Description","Fringe Benefits - Taxes","Account Index","2551","Account Number","5021-0-6110-0000","Credit Amount","0.00000","Debit Amount","24.22000","Document Date","1/1/1900","Document Number","DD000000000000146067","Document Sequence","131072","Period ID","11","Posting Type","Profit and Loss","Reference","Payroll Computer Checks","Row ID","5474238","Segment 1","5021","Segment 1 Description","Uinta River High School","Segment 10","","Segment 10 Description","","Segment 2","0","Segment 2 Description","","Segment 3","6110","Segment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Amount","24.22000","Transaction Date","8/14/2025","Transaction Description","","Vendor Name","ESPLIN, TAMMIE A.","Vendor Number","927","Journal Entry","1619971"</v>
      </c>
      <c r="L57" s="18">
        <v>45883</v>
      </c>
      <c r="M57">
        <v>1619971</v>
      </c>
      <c r="N57" t="str">
        <f t="shared" si="11"/>
        <v>Payroll Check</v>
      </c>
      <c r="O57" t="str">
        <f>"DD000000000000146067"</f>
        <v>DD000000000000146067</v>
      </c>
      <c r="P57" t="str">
        <f t="shared" si="12"/>
        <v>Payroll Computer Checks</v>
      </c>
      <c r="Q57" s="19" t="str">
        <f>""</f>
        <v/>
      </c>
      <c r="R57" s="20">
        <v>24.22</v>
      </c>
      <c r="S57" s="20">
        <v>0</v>
      </c>
      <c r="T57" s="21">
        <f t="shared" si="8"/>
        <v>24.22</v>
      </c>
    </row>
    <row r="58" spans="1:20" x14ac:dyDescent="0.25">
      <c r="A58" s="1" t="s">
        <v>24</v>
      </c>
      <c r="B58" s="16"/>
      <c r="C58" s="16"/>
      <c r="F58" s="16" t="e">
        <f t="shared" si="9"/>
        <v>#REF!</v>
      </c>
      <c r="G58" s="16" t="e">
        <f t="shared" si="9"/>
        <v>#REF!</v>
      </c>
      <c r="H58" s="17"/>
      <c r="K58" t="str">
        <f>"""GP"",""Ute Indian Tribe Membership Fund"",""Jet GL Transactions"",""Account Category Description"",""Other Expenses"",""Account Category Number"",""42"",""Account Description"",""Fringe Benefits - Taxes"",""Account Index"",""2551"",""Account Number"",""5021-0-6110-0000"",""Credit"&amp;" Amount"",""0.00000"",""Debit Amount"",""40.29000"",""Document Date"",""1/1/1900"",""Document Number"",""000000113125"",""Document Sequence"",""65536"",""Period ID"",""11"",""Posting Type"",""Profit and Loss"",""Reference"",""Payroll Computer Checks"",""Row ID"",""5471665"",""Segment 1"",""50"&amp;"21"",""Segment 1 Description"",""Uinta River High School"",""Segment 10"","""",""Segment 10 Description"","""",""Segment 2"",""0"",""Segment 2 Description"","""",""Segment 3"",""6110"",""Segment 3 Description"","""",""Segment 4"",""0000"",""Segment 4 Description"","""",""Segment 5"","""",""Segmen"&amp;"t 5 Description"","""",""Segment 6"","""",""Segment 6 Description"","""",""Segment 7"","""",""Segment 7 Description"","""",""Segment 8"","""",""Segment 8 Description"","""",""Segment 9"","""",""Segment 9 Description"","""",""Transaction Amount"",""40.29000"",""Transaction Date"",""8/14/2025"",""Tra"&amp;"nsaction Description"","""",""Vendor Name"",""LAUB, REBECCA"",""Vendor Number"",""2772"",""Journal Entry"",""1619819"""</f>
        <v>"GP","Ute Indian Tribe Membership Fund","Jet GL Transactions","Account Category Description","Other Expenses","Account Category Number","42","Account Description","Fringe Benefits - Taxes","Account Index","2551","Account Number","5021-0-6110-0000","Credit Amount","0.00000","Debit Amount","40.29000","Document Date","1/1/1900","Document Number","000000113125","Document Sequence","65536","Period ID","11","Posting Type","Profit and Loss","Reference","Payroll Computer Checks","Row ID","5471665","Segment 1","5021","Segment 1 Description","Uinta River High School","Segment 10","","Segment 10 Description","","Segment 2","0","Segment 2 Description","","Segment 3","6110","Segment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Amount","40.29000","Transaction Date","8/14/2025","Transaction Description","","Vendor Name","LAUB, REBECCA","Vendor Number","2772","Journal Entry","1619819"</v>
      </c>
      <c r="L58" s="18">
        <v>45883</v>
      </c>
      <c r="M58">
        <v>1619819</v>
      </c>
      <c r="N58" t="str">
        <f t="shared" si="11"/>
        <v>Payroll Check</v>
      </c>
      <c r="O58" t="str">
        <f>"000000113125"</f>
        <v>000000113125</v>
      </c>
      <c r="P58" t="str">
        <f t="shared" si="12"/>
        <v>Payroll Computer Checks</v>
      </c>
      <c r="Q58" s="19" t="str">
        <f>""</f>
        <v/>
      </c>
      <c r="R58" s="20">
        <v>40.29</v>
      </c>
      <c r="S58" s="20">
        <v>0</v>
      </c>
      <c r="T58" s="21">
        <f t="shared" si="8"/>
        <v>40.29</v>
      </c>
    </row>
    <row r="59" spans="1:20" x14ac:dyDescent="0.25">
      <c r="A59" s="1" t="s">
        <v>24</v>
      </c>
      <c r="B59" s="16"/>
      <c r="C59" s="16"/>
      <c r="F59" s="16" t="e">
        <f t="shared" si="9"/>
        <v>#REF!</v>
      </c>
      <c r="G59" s="16" t="e">
        <f t="shared" si="9"/>
        <v>#REF!</v>
      </c>
      <c r="H59" s="17"/>
      <c r="K59" t="str">
        <f>"""GP"",""Ute Indian Tribe Membership Fund"",""Jet GL Transactions"",""Account Category Description"",""Other Expenses"",""Account Category Number"",""42"",""Account Description"",""Fringe Benefits - Taxes"",""Account Index"",""2551"",""Account Number"",""5021-0-6110-0000"",""Credit"&amp;" Amount"",""0.00000"",""Debit Amount"",""103.54000"",""Document Date"",""1/1/1900"",""Document Number"",""DD000000000000146067"",""Document Sequence"",""81920"",""Period ID"",""11"",""Posting Type"",""Profit and Loss"",""Reference"",""Payroll Computer Checks"",""Row ID"",""5474237"",""Segme"&amp;"nt 1"",""5021"",""Segment 1 Description"",""Uinta River High School"",""Segment 10"","""",""Segment 10 Description"","""",""Segment 2"",""0"",""Segment 2 Description"","""",""Segment 3"",""6110"",""Segment 3 Description"","""",""Segment 4"",""0000"",""Segment 4 Description"","""",""Segment 5"","""&amp;""",""Segment 5 Description"","""",""Segment 6"","""",""Segment 6 Description"","""",""Segment 7"","""",""Segment 7 Description"","""",""Segment 8"","""",""Segment 8 Description"","""",""Segment 9"","""",""Segment 9 Description"","""",""Transaction Amount"",""103.54000"",""Transaction Date"",""8/14/"&amp;"2025"",""Transaction Description"","""",""Vendor Name"",""ESPLIN, TAMMIE A."",""Vendor Number"",""927"",""Journal Entry"",""1619971"""</f>
        <v>"GP","Ute Indian Tribe Membership Fund","Jet GL Transactions","Account Category Description","Other Expenses","Account Category Number","42","Account Description","Fringe Benefits - Taxes","Account Index","2551","Account Number","5021-0-6110-0000","Credit Amount","0.00000","Debit Amount","103.54000","Document Date","1/1/1900","Document Number","DD000000000000146067","Document Sequence","81920","Period ID","11","Posting Type","Profit and Loss","Reference","Payroll Computer Checks","Row ID","5474237","Segment 1","5021","Segment 1 Description","Uinta River High School","Segment 10","","Segment 10 Description","","Segment 2","0","Segment 2 Description","","Segment 3","6110","Segment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Amount","103.54000","Transaction Date","8/14/2025","Transaction Description","","Vendor Name","ESPLIN, TAMMIE A.","Vendor Number","927","Journal Entry","1619971"</v>
      </c>
      <c r="L59" s="18">
        <v>45883</v>
      </c>
      <c r="M59">
        <v>1619971</v>
      </c>
      <c r="N59" t="str">
        <f t="shared" si="11"/>
        <v>Payroll Check</v>
      </c>
      <c r="O59" t="str">
        <f>"DD000000000000146067"</f>
        <v>DD000000000000146067</v>
      </c>
      <c r="P59" t="str">
        <f t="shared" si="12"/>
        <v>Payroll Computer Checks</v>
      </c>
      <c r="Q59" s="19" t="str">
        <f>""</f>
        <v/>
      </c>
      <c r="R59" s="20">
        <v>103.54</v>
      </c>
      <c r="S59" s="20">
        <v>0</v>
      </c>
      <c r="T59" s="21">
        <f t="shared" si="8"/>
        <v>103.54</v>
      </c>
    </row>
    <row r="60" spans="1:20" x14ac:dyDescent="0.25">
      <c r="A60" s="1" t="s">
        <v>24</v>
      </c>
      <c r="B60" s="16"/>
      <c r="C60" s="16"/>
      <c r="F60" s="16" t="e">
        <f>#REF!</f>
        <v>#REF!</v>
      </c>
      <c r="G60" s="16" t="e">
        <f>#REF!</f>
        <v>#REF!</v>
      </c>
      <c r="H60" s="17"/>
    </row>
    <row r="61" spans="1:20" x14ac:dyDescent="0.25">
      <c r="A61" s="1" t="s">
        <v>24</v>
      </c>
      <c r="I61" s="50" t="str">
        <f>I35&amp;"   "&amp;J35&amp;"         Total:"</f>
        <v>5021-0-6110-0000   Fringe Benefits - Taxes         Total:</v>
      </c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22">
        <f>SUBTOTAL(9,T36:T60)</f>
        <v>806.87</v>
      </c>
    </row>
    <row r="62" spans="1:20" x14ac:dyDescent="0.25">
      <c r="A62" s="1" t="s">
        <v>24</v>
      </c>
    </row>
    <row r="63" spans="1:20" x14ac:dyDescent="0.25">
      <c r="A63" s="1" t="s">
        <v>24</v>
      </c>
    </row>
    <row r="64" spans="1:20" x14ac:dyDescent="0.25">
      <c r="A64" s="1" t="s">
        <v>24</v>
      </c>
      <c r="D64" s="1" t="str">
        <f>"||""Filter"",""Jet GL Transactions"",""Account Number"",""Transaction Date"",""10/1/2024..9/30/2025"",""Account Number"",""||""""Filter"""",""""Jet GL Transactions"""",""""Account Number"""",""""Segment 1"""",""""5021"""",""""Segment 2"""",""""*"""",""""Segment 4"""",""""0000|9050"""""""</f>
        <v>||"Filter","Jet GL Transactions","Account Number","Transaction Date","10/1/2024..9/30/2025","Account Number","||""Filter"",""Jet GL Transactions"",""Account Number"",""Segment 1"",""5021"",""Segment 2"",""*"",""Segment 4"",""0000|9050"""</v>
      </c>
      <c r="F64" s="1" t="str">
        <f>"5021-0-6115-0000"</f>
        <v>5021-0-6115-0000</v>
      </c>
      <c r="G64" s="1" t="str">
        <f>"5021-0-6115-0000"</f>
        <v>5021-0-6115-0000</v>
      </c>
      <c r="I64" s="14" t="str">
        <f>G64</f>
        <v>5021-0-6115-0000</v>
      </c>
      <c r="J64" s="14" t="str">
        <f>"Fringe Benefits - Health and Life Insurance"</f>
        <v>Fringe Benefits - Health and Life Insurance</v>
      </c>
      <c r="Q64" s="14"/>
      <c r="R64" s="15"/>
    </row>
    <row r="65" spans="1:20" x14ac:dyDescent="0.25">
      <c r="A65" s="1" t="s">
        <v>24</v>
      </c>
      <c r="B65" s="16"/>
      <c r="C65" s="16"/>
      <c r="F65" s="16" t="e">
        <f>#REF!</f>
        <v>#REF!</v>
      </c>
      <c r="G65" s="16" t="e">
        <f>#REF!</f>
        <v>#REF!</v>
      </c>
      <c r="H65" s="17"/>
      <c r="K65" t="str">
        <f>"""GP"",""Ute Indian Tribe Membership Fund"",""Jet GL Transactions"",""Account Category Description"",""Other Expenses"",""Account Category Number"",""42"",""Account Description"",""Fringe Benefits - Health and Life Insurance"",""Account Index"",""2720"",""Account Number"",""5021-"&amp;"0-6115-0000"",""Credit Amount"",""0.00000"",""Debit Amount"",""1159.25000"",""Document Date"",""1/1/1900"",""Document Number"",""DD000000000000144904"",""Document Sequence"",""212992"",""Period ID"",""10"",""Posting Type"",""Profit and Loss"",""Reference"",""Payroll Computer Checks"",""Ro"&amp;"w ID"",""5436746"",""Segment 1"",""5021"",""Segment 1 Description"",""Uinta River High School"",""Segment 10"","""",""Segment 10 Description"","""",""Segment 2"",""0"",""Segment 2 Description"","""",""Segment 3"",""6115"",""Segment 3 Description"","""",""Segment 4"",""0000"",""Segment 4 Descrip"&amp;"tion"","""",""Segment 5"","""",""Segment 5 Description"","""",""Segment 6"","""",""Segment 6 Description"","""",""Segment 7"","""",""Segment 7 Description"","""",""Segment 8"","""",""Segment 8 Description"","""",""Segment 9"","""",""Segment 9 Description"","""",""Transaction Amount"",""1159.25000"",""T"&amp;"ransaction Date"",""7/2/2025"",""Transaction Description"","""",""Vendor Name"",""ESPLIN, TAMMIE A."",""Vendor Number"",""927"",""Journal Entry"",""1612751"""</f>
        <v>"GP","Ute Indian Tribe Membership Fund","Jet GL Transactions","Account Category Description","Other Expenses","Account Category Number","42","Account Description","Fringe Benefits - Health and Life Insurance","Account Index","2720","Account Number","5021-0-6115-0000","Credit Amount","0.00000","Debit Amount","1159.25000","Document Date","1/1/1900","Document Number","DD000000000000144904","Document Sequence","212992","Period ID","10","Posting Type","Profit and Loss","Reference","Payroll Computer Checks","Row ID","5436746","Segment 1","5021","Segment 1 Description","Uinta River High School","Segment 10","","Segment 10 Description","","Segment 2","0","Segment 2 Description","","Segment 3","6115","Segment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Amount","1159.25000","Transaction Date","7/2/2025","Transaction Description","","Vendor Name","ESPLIN, TAMMIE A.","Vendor Number","927","Journal Entry","1612751"</v>
      </c>
      <c r="L65" s="18">
        <v>45840</v>
      </c>
      <c r="M65">
        <v>1612751</v>
      </c>
      <c r="N65" t="str">
        <f t="shared" ref="N65:N68" si="13">"Payroll Check"</f>
        <v>Payroll Check</v>
      </c>
      <c r="O65" t="str">
        <f>"DD000000000000144904"</f>
        <v>DD000000000000144904</v>
      </c>
      <c r="P65" t="str">
        <f t="shared" ref="P65:P68" si="14">"Payroll Computer Checks"</f>
        <v>Payroll Computer Checks</v>
      </c>
      <c r="Q65" s="19" t="str">
        <f>""</f>
        <v/>
      </c>
      <c r="R65" s="20">
        <v>1159.25</v>
      </c>
      <c r="S65" s="20">
        <v>0</v>
      </c>
      <c r="T65" s="21">
        <f t="shared" ref="T65:T68" si="15">SUM(R65:S65)</f>
        <v>1159.25</v>
      </c>
    </row>
    <row r="66" spans="1:20" x14ac:dyDescent="0.25">
      <c r="A66" s="1" t="s">
        <v>24</v>
      </c>
      <c r="B66" s="16"/>
      <c r="C66" s="16"/>
      <c r="F66" s="16" t="e">
        <f t="shared" ref="F66:G68" si="16">F65</f>
        <v>#REF!</v>
      </c>
      <c r="G66" s="16" t="e">
        <f t="shared" si="16"/>
        <v>#REF!</v>
      </c>
      <c r="H66" s="17"/>
      <c r="K66" t="str">
        <f>"""GP"",""Ute Indian Tribe Membership Fund"",""Jet GL Transactions"",""Account Category Description"",""Other Expenses"",""Account Category Number"",""42"",""Account Description"",""Fringe Benefits - Health and Life Insurance"",""Account Index"",""2720"",""Account Number"",""5021-"&amp;"0-6115-0000"",""Credit Amount"",""0.00000"",""Debit Amount"",""1149.82000"",""Document Date"",""1/1/1900"",""Document Number"",""DD000000000000145291"",""Document Sequence"",""229376"",""Period ID"",""10"",""Posting Type"",""Profit and Loss"",""Reference"",""Payroll Computer Checks"",""Ro"&amp;"w ID"",""5445057"",""Segment 1"",""5021"",""Segment 1 Description"",""Uinta River High School"",""Segment 10"","""",""Segment 10 Description"","""",""Segment 2"",""0"",""Segment 2 Description"","""",""Segment 3"",""6115"",""Segment 3 Description"","""",""Segment 4"",""0000"",""Segment 4 Descrip"&amp;"tion"","""",""Segment 5"","""",""Segment 5 Description"","""",""Segment 6"","""",""Segment 6 Description"","""",""Segment 7"","""",""Segment 7 Description"","""",""Segment 8"","""",""Segment 8 Description"","""",""Segment 9"","""",""Segment 9 Description"","""",""Transaction Amount"",""1149.82000"",""T"&amp;"ransaction Date"",""7/17/2025"",""Transaction Description"","""",""Vendor Name"",""ESPLIN, TAMMIE A."",""Vendor Number"",""927"",""Journal Entry"",""1615158"""</f>
        <v>"GP","Ute Indian Tribe Membership Fund","Jet GL Transactions","Account Category Description","Other Expenses","Account Category Number","42","Account Description","Fringe Benefits - Health and Life Insurance","Account Index","2720","Account Number","5021-0-6115-0000","Credit Amount","0.00000","Debit Amount","1149.82000","Document Date","1/1/1900","Document Number","DD000000000000145291","Document Sequence","229376","Period ID","10","Posting Type","Profit and Loss","Reference","Payroll Computer Checks","Row ID","5445057","Segment 1","5021","Segment 1 Description","Uinta River High School","Segment 10","","Segment 10 Description","","Segment 2","0","Segment 2 Description","","Segment 3","6115","Segment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Amount","1149.82000","Transaction Date","7/17/2025","Transaction Description","","Vendor Name","ESPLIN, TAMMIE A.","Vendor Number","927","Journal Entry","1615158"</v>
      </c>
      <c r="L66" s="18">
        <v>45855</v>
      </c>
      <c r="M66">
        <v>1615158</v>
      </c>
      <c r="N66" t="str">
        <f t="shared" si="13"/>
        <v>Payroll Check</v>
      </c>
      <c r="O66" t="str">
        <f>"DD000000000000145291"</f>
        <v>DD000000000000145291</v>
      </c>
      <c r="P66" t="str">
        <f t="shared" si="14"/>
        <v>Payroll Computer Checks</v>
      </c>
      <c r="Q66" s="19" t="str">
        <f>""</f>
        <v/>
      </c>
      <c r="R66" s="20">
        <v>1149.82</v>
      </c>
      <c r="S66" s="20">
        <v>0</v>
      </c>
      <c r="T66" s="21">
        <f t="shared" si="15"/>
        <v>1149.82</v>
      </c>
    </row>
    <row r="67" spans="1:20" x14ac:dyDescent="0.25">
      <c r="A67" s="1" t="s">
        <v>24</v>
      </c>
      <c r="B67" s="16"/>
      <c r="C67" s="16"/>
      <c r="F67" s="16" t="e">
        <f t="shared" si="16"/>
        <v>#REF!</v>
      </c>
      <c r="G67" s="16" t="e">
        <f t="shared" si="16"/>
        <v>#REF!</v>
      </c>
      <c r="H67" s="17"/>
      <c r="K67" t="str">
        <f>"""GP"",""Ute Indian Tribe Membership Fund"",""Jet GL Transactions"",""Account Category Description"",""Other Expenses"",""Account Category Number"",""42"",""Account Description"",""Fringe Benefits - Health and Life Insurance"",""Account Index"",""2720"",""Account Number"",""5021-"&amp;"0-6115-0000"",""Credit Amount"",""0.00000"",""Debit Amount"",""1149.82000"",""Document Date"",""1/1/1900"",""Document Number"",""DD000000000000145678"",""Document Sequence"",""212992"",""Period ID"",""10"",""Posting Type"",""Profit and Loss"",""Reference"",""Payroll Computer Checks"",""Ro"&amp;"w ID"",""5456149"",""Segment 1"",""5021"",""Segment 1 Description"",""Uinta River High School"",""Segment 10"","""",""Segment 10 Description"","""",""Segment 2"",""0"",""Segment 2 Description"","""",""Segment 3"",""6115"",""Segment 3 Description"","""",""Segment 4"",""0000"",""Segment 4 Descrip"&amp;"tion"","""",""Segment 5"","""",""Segment 5 Description"","""",""Segment 6"","""",""Segment 6 Description"","""",""Segment 7"","""",""Segment 7 Description"","""",""Segment 8"","""",""Segment 8 Description"","""",""Segment 9"","""",""Segment 9 Description"","""",""Transaction Amount"",""1149.82000"",""T"&amp;"ransaction Date"",""7/31/2025"",""Transaction Description"","""",""Vendor Name"",""ESPLIN, TAMMIE A."",""Vendor Number"",""927"",""Journal Entry"",""1617078"""</f>
        <v>"GP","Ute Indian Tribe Membership Fund","Jet GL Transactions","Account Category Description","Other Expenses","Account Category Number","42","Account Description","Fringe Benefits - Health and Life Insurance","Account Index","2720","Account Number","5021-0-6115-0000","Credit Amount","0.00000","Debit Amount","1149.82000","Document Date","1/1/1900","Document Number","DD000000000000145678","Document Sequence","212992","Period ID","10","Posting Type","Profit and Loss","Reference","Payroll Computer Checks","Row ID","5456149","Segment 1","5021","Segment 1 Description","Uinta River High School","Segment 10","","Segment 10 Description","","Segment 2","0","Segment 2 Description","","Segment 3","6115","Segment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Amount","1149.82000","Transaction Date","7/31/2025","Transaction Description","","Vendor Name","ESPLIN, TAMMIE A.","Vendor Number","927","Journal Entry","1617078"</v>
      </c>
      <c r="L67" s="18">
        <v>45869</v>
      </c>
      <c r="M67">
        <v>1617078</v>
      </c>
      <c r="N67" t="str">
        <f t="shared" si="13"/>
        <v>Payroll Check</v>
      </c>
      <c r="O67" t="str">
        <f>"DD000000000000145678"</f>
        <v>DD000000000000145678</v>
      </c>
      <c r="P67" t="str">
        <f t="shared" si="14"/>
        <v>Payroll Computer Checks</v>
      </c>
      <c r="Q67" s="19" t="str">
        <f>""</f>
        <v/>
      </c>
      <c r="R67" s="20">
        <v>1149.82</v>
      </c>
      <c r="S67" s="20">
        <v>0</v>
      </c>
      <c r="T67" s="21">
        <f t="shared" si="15"/>
        <v>1149.82</v>
      </c>
    </row>
    <row r="68" spans="1:20" x14ac:dyDescent="0.25">
      <c r="A68" s="1" t="s">
        <v>24</v>
      </c>
      <c r="B68" s="16"/>
      <c r="C68" s="16"/>
      <c r="F68" s="16" t="e">
        <f t="shared" si="16"/>
        <v>#REF!</v>
      </c>
      <c r="G68" s="16" t="e">
        <f t="shared" si="16"/>
        <v>#REF!</v>
      </c>
      <c r="H68" s="17"/>
      <c r="K68" t="str">
        <f>"""GP"",""Ute Indian Tribe Membership Fund"",""Jet GL Transactions"",""Account Category Description"",""Other Expenses"",""Account Category Number"",""42"",""Account Description"",""Fringe Benefits - Health and Life Insurance"",""Account Index"",""2720"",""Account Number"",""5021-"&amp;"0-6115-0000"",""Credit Amount"",""0.00000"",""Debit Amount"",""1149.82000"",""Document Date"",""1/1/1900"",""Document Number"",""DD000000000000146067"",""Document Sequence"",""229376"",""Period ID"",""11"",""Posting Type"",""Profit and Loss"",""Reference"",""Payroll Computer Checks"",""Ro"&amp;"w ID"",""5474240"",""Segment 1"",""5021"",""Segment 1 Description"",""Uinta River High School"",""Segment 10"","""",""Segment 10 Description"","""",""Segment 2"",""0"",""Segment 2 Description"","""",""Segment 3"",""6115"",""Segment 3 Description"","""",""Segment 4"",""0000"",""Segment 4 Descrip"&amp;"tion"","""",""Segment 5"","""",""Segment 5 Description"","""",""Segment 6"","""",""Segment 6 Description"","""",""Segment 7"","""",""Segment 7 Description"","""",""Segment 8"","""",""Segment 8 Description"","""",""Segment 9"","""",""Segment 9 Description"","""",""Transaction Amount"",""1149.82000"",""T"&amp;"ransaction Date"",""8/14/2025"",""Transaction Description"","""",""Vendor Name"",""ESPLIN, TAMMIE A."",""Vendor Number"",""927"",""Journal Entry"",""1619971"""</f>
        <v>"GP","Ute Indian Tribe Membership Fund","Jet GL Transactions","Account Category Description","Other Expenses","Account Category Number","42","Account Description","Fringe Benefits - Health and Life Insurance","Account Index","2720","Account Number","5021-0-6115-0000","Credit Amount","0.00000","Debit Amount","1149.82000","Document Date","1/1/1900","Document Number","DD000000000000146067","Document Sequence","229376","Period ID","11","Posting Type","Profit and Loss","Reference","Payroll Computer Checks","Row ID","5474240","Segment 1","5021","Segment 1 Description","Uinta River High School","Segment 10","","Segment 10 Description","","Segment 2","0","Segment 2 Description","","Segment 3","6115","Segment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Amount","1149.82000","Transaction Date","8/14/2025","Transaction Description","","Vendor Name","ESPLIN, TAMMIE A.","Vendor Number","927","Journal Entry","1619971"</v>
      </c>
      <c r="L68" s="18">
        <v>45883</v>
      </c>
      <c r="M68">
        <v>1619971</v>
      </c>
      <c r="N68" t="str">
        <f t="shared" si="13"/>
        <v>Payroll Check</v>
      </c>
      <c r="O68" t="str">
        <f>"DD000000000000146067"</f>
        <v>DD000000000000146067</v>
      </c>
      <c r="P68" t="str">
        <f t="shared" si="14"/>
        <v>Payroll Computer Checks</v>
      </c>
      <c r="Q68" s="19" t="str">
        <f>""</f>
        <v/>
      </c>
      <c r="R68" s="20">
        <v>1149.82</v>
      </c>
      <c r="S68" s="20">
        <v>0</v>
      </c>
      <c r="T68" s="21">
        <f t="shared" si="15"/>
        <v>1149.82</v>
      </c>
    </row>
    <row r="69" spans="1:20" x14ac:dyDescent="0.25">
      <c r="A69" s="1" t="s">
        <v>24</v>
      </c>
      <c r="B69" s="16"/>
      <c r="C69" s="16"/>
      <c r="F69" s="16" t="e">
        <f>#REF!</f>
        <v>#REF!</v>
      </c>
      <c r="G69" s="16" t="e">
        <f>#REF!</f>
        <v>#REF!</v>
      </c>
      <c r="H69" s="17"/>
    </row>
    <row r="70" spans="1:20" x14ac:dyDescent="0.25">
      <c r="A70" s="1" t="s">
        <v>24</v>
      </c>
      <c r="I70" s="50" t="str">
        <f>I64&amp;"   "&amp;J64&amp;"         Total:"</f>
        <v>5021-0-6115-0000   Fringe Benefits - Health and Life Insurance         Total:</v>
      </c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22">
        <f>SUBTOTAL(9,T65:T69)</f>
        <v>4608.7099999999991</v>
      </c>
    </row>
    <row r="71" spans="1:20" x14ac:dyDescent="0.25">
      <c r="A71" s="1" t="s">
        <v>24</v>
      </c>
    </row>
    <row r="72" spans="1:20" x14ac:dyDescent="0.25">
      <c r="A72" s="1" t="s">
        <v>24</v>
      </c>
    </row>
    <row r="73" spans="1:20" x14ac:dyDescent="0.25">
      <c r="A73" s="1" t="s">
        <v>24</v>
      </c>
      <c r="D73" s="1" t="str">
        <f>"||""Filter"",""Jet GL Transactions"",""Account Number"",""Transaction Date"",""10/1/2024..9/30/2025"",""Account Number"",""||""""Filter"""",""""Jet GL Transactions"""",""""Account Number"""",""""Segment 1"""",""""5021"""",""""Segment 2"""",""""*"""",""""Segment 4"""",""""0000|9050"""""""</f>
        <v>||"Filter","Jet GL Transactions","Account Number","Transaction Date","10/1/2024..9/30/2025","Account Number","||""Filter"",""Jet GL Transactions"",""Account Number"",""Segment 1"",""5021"",""Segment 2"",""*"",""Segment 4"",""0000|9050"""</v>
      </c>
      <c r="F73" s="1" t="str">
        <f>"5021-0-6120-0000"</f>
        <v>5021-0-6120-0000</v>
      </c>
      <c r="G73" s="1" t="str">
        <f>"5021-0-6120-0000"</f>
        <v>5021-0-6120-0000</v>
      </c>
      <c r="I73" s="14" t="str">
        <f>G73</f>
        <v>5021-0-6120-0000</v>
      </c>
      <c r="J73" s="14" t="str">
        <f>"Fringe Benefits - Retirement"</f>
        <v>Fringe Benefits - Retirement</v>
      </c>
      <c r="Q73" s="14"/>
      <c r="R73" s="15"/>
    </row>
    <row r="74" spans="1:20" x14ac:dyDescent="0.25">
      <c r="A74" s="1" t="s">
        <v>24</v>
      </c>
      <c r="B74" s="16"/>
      <c r="C74" s="16"/>
      <c r="F74" s="16" t="e">
        <f>#REF!</f>
        <v>#REF!</v>
      </c>
      <c r="G74" s="16" t="e">
        <f>#REF!</f>
        <v>#REF!</v>
      </c>
      <c r="H74" s="17"/>
      <c r="K74" t="str">
        <f>"""GP"",""Ute Indian Tribe Membership Fund"",""Jet GL Transactions"",""Account Category Description"",""Other Expenses"",""Account Category Number"",""42"",""Account Description"",""Fringe Benefits - Retirement"",""Account Index"",""2889"",""Account Number"",""5021-0-6120-0000"",""C"&amp;"redit Amount"",""0.00000"",""Debit Amount"",""66.08000"",""Document Date"",""1/1/1900"",""Document Number"",""DD000000000000144748"",""Document Sequence"",""212992"",""Period ID"",""10"",""Posting Type"",""Profit and Loss"",""Reference"",""Payroll Computer Checks"",""Row ID"",""5436763"","""&amp;"Segment 1"",""5021"",""Segment 1 Description"",""Uinta River High School"",""Segment 10"","""",""Segment 10 Description"","""",""Segment 2"",""0"",""Segment 2 Description"","""",""Segment 3"",""6120"",""Segment 3 Description"","""",""Segment 4"",""0000"",""Segment 4 Description"","""",""Segment"&amp;" 5"","""",""Segment 5 Description"","""",""Segment 6"","""",""Segment 6 Description"","""",""Segment 7"","""",""Segment 7 Description"","""",""Segment 8"","""",""Segment 8 Description"","""",""Segment 9"","""",""Segment 9 Description"","""",""Transaction Amount"",""66.08000"",""Transaction Date"",""7"&amp;"/2/2025"",""Transaction Description"","""",""Vendor Name"",""THACKER, STEPHANIE"",""Vendor Number"",""928"",""Journal Entry"",""1612752"""</f>
        <v>"GP","Ute Indian Tribe Membership Fund","Jet GL Transactions","Account Category Description","Other Expenses","Account Category Number","42","Account Description","Fringe Benefits - Retirement","Account Index","2889","Account Number","5021-0-6120-0000","Credit Amount","0.00000","Debit Amount","66.08000","Document Date","1/1/1900","Document Number","DD000000000000144748","Document Sequence","212992","Period ID","10","Posting Type","Profit and Loss","Reference","Payroll Computer Checks","Row ID","5436763","Segment 1","5021","Segment 1 Description","Uinta River High School","Segment 10","","Segment 10 Description","","Segment 2","0","Segment 2 Description","","Segment 3","6120","Segment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Amount","66.08000","Transaction Date","7/2/2025","Transaction Description","","Vendor Name","THACKER, STEPHANIE","Vendor Number","928","Journal Entry","1612752"</v>
      </c>
      <c r="L74" s="18">
        <v>45840</v>
      </c>
      <c r="M74">
        <v>1612752</v>
      </c>
      <c r="N74" t="str">
        <f t="shared" ref="N74:N78" si="17">"Payroll Check"</f>
        <v>Payroll Check</v>
      </c>
      <c r="O74" t="str">
        <f>"DD000000000000144748"</f>
        <v>DD000000000000144748</v>
      </c>
      <c r="P74" t="str">
        <f t="shared" ref="P74:P78" si="18">"Payroll Computer Checks"</f>
        <v>Payroll Computer Checks</v>
      </c>
      <c r="Q74" s="19" t="str">
        <f>""</f>
        <v/>
      </c>
      <c r="R74" s="20">
        <v>66.08</v>
      </c>
      <c r="S74" s="20">
        <v>0</v>
      </c>
      <c r="T74" s="21">
        <f t="shared" ref="T74:T78" si="19">SUM(R74:S74)</f>
        <v>66.08</v>
      </c>
    </row>
    <row r="75" spans="1:20" x14ac:dyDescent="0.25">
      <c r="A75" s="1" t="s">
        <v>24</v>
      </c>
      <c r="B75" s="16"/>
      <c r="C75" s="16"/>
      <c r="F75" s="16" t="e">
        <f t="shared" ref="F75:G78" si="20">F74</f>
        <v>#REF!</v>
      </c>
      <c r="G75" s="16" t="e">
        <f t="shared" si="20"/>
        <v>#REF!</v>
      </c>
      <c r="H75" s="17"/>
      <c r="K75" t="str">
        <f>"""GP"",""Ute Indian Tribe Membership Fund"",""Jet GL Transactions"",""Account Category Description"",""Other Expenses"",""Account Category Number"",""42"",""Account Description"",""Fringe Benefits - Retirement"",""Account Index"",""2889"",""Account Number"",""5021-0-6120-0000"",""C"&amp;"redit Amount"",""0.00000"",""Debit Amount"",""90.80000"",""Document Date"",""1/1/1900"",""Document Number"",""DD000000000000144904"",""Document Sequence"",""278528"",""Period ID"",""10"",""Posting Type"",""Profit and Loss"",""Reference"",""Payroll Computer Checks"",""Row ID"",""5436747"","""&amp;"Segment 1"",""5021"",""Segment 1 Description"",""Uinta River High School"",""Segment 10"","""",""Segment 10 Description"","""",""Segment 2"",""0"",""Segment 2 Description"","""",""Segment 3"",""6120"",""Segment 3 Description"","""",""Segment 4"",""0000"",""Segment 4 Description"","""",""Segment"&amp;" 5"","""",""Segment 5 Description"","""",""Segment 6"","""",""Segment 6 Description"","""",""Segment 7"","""",""Segment 7 Description"","""",""Segment 8"","""",""Segment 8 Description"","""",""Segment 9"","""",""Segment 9 Description"","""",""Transaction Amount"",""90.80000"",""Transaction Date"",""7"&amp;"/2/2025"",""Transaction Description"","""",""Vendor Name"",""ESPLIN, TAMMIE A."",""Vendor Number"",""927"",""Journal Entry"",""1612751"""</f>
        <v>"GP","Ute Indian Tribe Membership Fund","Jet GL Transactions","Account Category Description","Other Expenses","Account Category Number","42","Account Description","Fringe Benefits - Retirement","Account Index","2889","Account Number","5021-0-6120-0000","Credit Amount","0.00000","Debit Amount","90.80000","Document Date","1/1/1900","Document Number","DD000000000000144904","Document Sequence","278528","Period ID","10","Posting Type","Profit and Loss","Reference","Payroll Computer Checks","Row ID","5436747","Segment 1","5021","Segment 1 Description","Uinta River High School","Segment 10","","Segment 10 Description","","Segment 2","0","Segment 2 Description","","Segment 3","6120","Segment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Amount","90.80000","Transaction Date","7/2/2025","Transaction Description","","Vendor Name","ESPLIN, TAMMIE A.","Vendor Number","927","Journal Entry","1612751"</v>
      </c>
      <c r="L75" s="18">
        <v>45840</v>
      </c>
      <c r="M75">
        <v>1612751</v>
      </c>
      <c r="N75" t="str">
        <f t="shared" si="17"/>
        <v>Payroll Check</v>
      </c>
      <c r="O75" t="str">
        <f>"DD000000000000144904"</f>
        <v>DD000000000000144904</v>
      </c>
      <c r="P75" t="str">
        <f t="shared" si="18"/>
        <v>Payroll Computer Checks</v>
      </c>
      <c r="Q75" s="19" t="str">
        <f>""</f>
        <v/>
      </c>
      <c r="R75" s="20">
        <v>90.8</v>
      </c>
      <c r="S75" s="20">
        <v>0</v>
      </c>
      <c r="T75" s="21">
        <f t="shared" si="19"/>
        <v>90.8</v>
      </c>
    </row>
    <row r="76" spans="1:20" x14ac:dyDescent="0.25">
      <c r="A76" s="1" t="s">
        <v>24</v>
      </c>
      <c r="B76" s="16"/>
      <c r="C76" s="16"/>
      <c r="F76" s="16" t="e">
        <f t="shared" si="20"/>
        <v>#REF!</v>
      </c>
      <c r="G76" s="16" t="e">
        <f t="shared" si="20"/>
        <v>#REF!</v>
      </c>
      <c r="H76" s="17"/>
      <c r="K76" t="str">
        <f>"""GP"",""Ute Indian Tribe Membership Fund"",""Jet GL Transactions"",""Account Category Description"",""Other Expenses"",""Account Category Number"",""42"",""Account Description"",""Fringe Benefits - Retirement"",""Account Index"",""2889"",""Account Number"",""5021-0-6120-0000"",""C"&amp;"redit Amount"",""0.00000"",""Debit Amount"",""90.80000"",""Document Date"",""1/1/1900"",""Document Number"",""DD000000000000145291"",""Document Sequence"",""294912"",""Period ID"",""10"",""Posting Type"",""Profit and Loss"",""Reference"",""Payroll Computer Checks"",""Row ID"",""5445058"","""&amp;"Segment 1"",""5021"",""Segment 1 Description"",""Uinta River High School"",""Segment 10"","""",""Segment 10 Description"","""",""Segment 2"",""0"",""Segment 2 Description"","""",""Segment 3"",""6120"",""Segment 3 Description"","""",""Segment 4"",""0000"",""Segment 4 Description"","""",""Segment"&amp;" 5"","""",""Segment 5 Description"","""",""Segment 6"","""",""Segment 6 Description"","""",""Segment 7"","""",""Segment 7 Description"","""",""Segment 8"","""",""Segment 8 Description"","""",""Segment 9"","""",""Segment 9 Description"","""",""Transaction Amount"",""90.80000"",""Transaction Date"",""7"&amp;"/17/2025"",""Transaction Description"","""",""Vendor Name"",""ESPLIN, TAMMIE A."",""Vendor Number"",""927"",""Journal Entry"",""1615158"""</f>
        <v>"GP","Ute Indian Tribe Membership Fund","Jet GL Transactions","Account Category Description","Other Expenses","Account Category Number","42","Account Description","Fringe Benefits - Retirement","Account Index","2889","Account Number","5021-0-6120-0000","Credit Amount","0.00000","Debit Amount","90.80000","Document Date","1/1/1900","Document Number","DD000000000000145291","Document Sequence","294912","Period ID","10","Posting Type","Profit and Loss","Reference","Payroll Computer Checks","Row ID","5445058","Segment 1","5021","Segment 1 Description","Uinta River High School","Segment 10","","Segment 10 Description","","Segment 2","0","Segment 2 Description","","Segment 3","6120","Segment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Amount","90.80000","Transaction Date","7/17/2025","Transaction Description","","Vendor Name","ESPLIN, TAMMIE A.","Vendor Number","927","Journal Entry","1615158"</v>
      </c>
      <c r="L76" s="18">
        <v>45855</v>
      </c>
      <c r="M76">
        <v>1615158</v>
      </c>
      <c r="N76" t="str">
        <f t="shared" si="17"/>
        <v>Payroll Check</v>
      </c>
      <c r="O76" t="str">
        <f>"DD000000000000145291"</f>
        <v>DD000000000000145291</v>
      </c>
      <c r="P76" t="str">
        <f t="shared" si="18"/>
        <v>Payroll Computer Checks</v>
      </c>
      <c r="Q76" s="19" t="str">
        <f>""</f>
        <v/>
      </c>
      <c r="R76" s="20">
        <v>90.8</v>
      </c>
      <c r="S76" s="20">
        <v>0</v>
      </c>
      <c r="T76" s="21">
        <f t="shared" si="19"/>
        <v>90.8</v>
      </c>
    </row>
    <row r="77" spans="1:20" x14ac:dyDescent="0.25">
      <c r="A77" s="1" t="s">
        <v>24</v>
      </c>
      <c r="B77" s="16"/>
      <c r="C77" s="16"/>
      <c r="F77" s="16" t="e">
        <f t="shared" si="20"/>
        <v>#REF!</v>
      </c>
      <c r="G77" s="16" t="e">
        <f t="shared" si="20"/>
        <v>#REF!</v>
      </c>
      <c r="H77" s="17"/>
      <c r="K77" t="str">
        <f>"""GP"",""Ute Indian Tribe Membership Fund"",""Jet GL Transactions"",""Account Category Description"",""Other Expenses"",""Account Category Number"",""42"",""Account Description"",""Fringe Benefits - Retirement"",""Account Index"",""2889"",""Account Number"",""5021-0-6120-0000"",""C"&amp;"redit Amount"",""0.00000"",""Debit Amount"",""90.80000"",""Document Date"",""1/1/1900"",""Document Number"",""DD000000000000145678"",""Document Sequence"",""278528"",""Period ID"",""10"",""Posting Type"",""Profit and Loss"",""Reference"",""Payroll Computer Checks"",""Row ID"",""5456150"","""&amp;"Segment 1"",""5021"",""Segment 1 Description"",""Uinta River High School"",""Segment 10"","""",""Segment 10 Description"","""",""Segment 2"",""0"",""Segment 2 Description"","""",""Segment 3"",""6120"",""Segment 3 Description"","""",""Segment 4"",""0000"",""Segment 4 Description"","""",""Segment"&amp;" 5"","""",""Segment 5 Description"","""",""Segment 6"","""",""Segment 6 Description"","""",""Segment 7"","""",""Segment 7 Description"","""",""Segment 8"","""",""Segment 8 Description"","""",""Segment 9"","""",""Segment 9 Description"","""",""Transaction Amount"",""90.80000"",""Transaction Date"",""7"&amp;"/31/2025"",""Transaction Description"","""",""Vendor Name"",""ESPLIN, TAMMIE A."",""Vendor Number"",""927"",""Journal Entry"",""1617078"""</f>
        <v>"GP","Ute Indian Tribe Membership Fund","Jet GL Transactions","Account Category Description","Other Expenses","Account Category Number","42","Account Description","Fringe Benefits - Retirement","Account Index","2889","Account Number","5021-0-6120-0000","Credit Amount","0.00000","Debit Amount","90.80000","Document Date","1/1/1900","Document Number","DD000000000000145678","Document Sequence","278528","Period ID","10","Posting Type","Profit and Loss","Reference","Payroll Computer Checks","Row ID","5456150","Segment 1","5021","Segment 1 Description","Uinta River High School","Segment 10","","Segment 10 Description","","Segment 2","0","Segment 2 Description","","Segment 3","6120","Segment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Amount","90.80000","Transaction Date","7/31/2025","Transaction Description","","Vendor Name","ESPLIN, TAMMIE A.","Vendor Number","927","Journal Entry","1617078"</v>
      </c>
      <c r="L77" s="18">
        <v>45869</v>
      </c>
      <c r="M77">
        <v>1617078</v>
      </c>
      <c r="N77" t="str">
        <f t="shared" si="17"/>
        <v>Payroll Check</v>
      </c>
      <c r="O77" t="str">
        <f>"DD000000000000145678"</f>
        <v>DD000000000000145678</v>
      </c>
      <c r="P77" t="str">
        <f t="shared" si="18"/>
        <v>Payroll Computer Checks</v>
      </c>
      <c r="Q77" s="19" t="str">
        <f>""</f>
        <v/>
      </c>
      <c r="R77" s="20">
        <v>90.8</v>
      </c>
      <c r="S77" s="20">
        <v>0</v>
      </c>
      <c r="T77" s="21">
        <f t="shared" si="19"/>
        <v>90.8</v>
      </c>
    </row>
    <row r="78" spans="1:20" x14ac:dyDescent="0.25">
      <c r="A78" s="1" t="s">
        <v>24</v>
      </c>
      <c r="B78" s="16"/>
      <c r="C78" s="16"/>
      <c r="F78" s="16" t="e">
        <f t="shared" si="20"/>
        <v>#REF!</v>
      </c>
      <c r="G78" s="16" t="e">
        <f t="shared" si="20"/>
        <v>#REF!</v>
      </c>
      <c r="H78" s="17"/>
      <c r="K78" t="str">
        <f>"""GP"",""Ute Indian Tribe Membership Fund"",""Jet GL Transactions"",""Account Category Description"",""Other Expenses"",""Account Category Number"",""42"",""Account Description"",""Fringe Benefits - Retirement"",""Account Index"",""2889"",""Account Number"",""5021-0-6120-0000"",""C"&amp;"redit Amount"",""0.00000"",""Debit Amount"",""90.80000"",""Document Date"",""1/1/1900"",""Document Number"",""DD000000000000146067"",""Document Sequence"",""294912"",""Period ID"",""11"",""Posting Type"",""Profit and Loss"",""Reference"",""Payroll Computer Checks"",""Row ID"",""5474241"","""&amp;"Segment 1"",""5021"",""Segment 1 Description"",""Uinta River High School"",""Segment 10"","""",""Segment 10 Description"","""",""Segment 2"",""0"",""Segment 2 Description"","""",""Segment 3"",""6120"",""Segment 3 Description"","""",""Segment 4"",""0000"",""Segment 4 Description"","""",""Segment"&amp;" 5"","""",""Segment 5 Description"","""",""Segment 6"","""",""Segment 6 Description"","""",""Segment 7"","""",""Segment 7 Description"","""",""Segment 8"","""",""Segment 8 Description"","""",""Segment 9"","""",""Segment 9 Description"","""",""Transaction Amount"",""90.80000"",""Transaction Date"",""8"&amp;"/14/2025"",""Transaction Description"","""",""Vendor Name"",""ESPLIN, TAMMIE A."",""Vendor Number"",""927"",""Journal Entry"",""1619971"""</f>
        <v>"GP","Ute Indian Tribe Membership Fund","Jet GL Transactions","Account Category Description","Other Expenses","Account Category Number","42","Account Description","Fringe Benefits - Retirement","Account Index","2889","Account Number","5021-0-6120-0000","Credit Amount","0.00000","Debit Amount","90.80000","Document Date","1/1/1900","Document Number","DD000000000000146067","Document Sequence","294912","Period ID","11","Posting Type","Profit and Loss","Reference","Payroll Computer Checks","Row ID","5474241","Segment 1","5021","Segment 1 Description","Uinta River High School","Segment 10","","Segment 10 Description","","Segment 2","0","Segment 2 Description","","Segment 3","6120","Segment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Amount","90.80000","Transaction Date","8/14/2025","Transaction Description","","Vendor Name","ESPLIN, TAMMIE A.","Vendor Number","927","Journal Entry","1619971"</v>
      </c>
      <c r="L78" s="18">
        <v>45883</v>
      </c>
      <c r="M78">
        <v>1619971</v>
      </c>
      <c r="N78" t="str">
        <f t="shared" si="17"/>
        <v>Payroll Check</v>
      </c>
      <c r="O78" t="str">
        <f>"DD000000000000146067"</f>
        <v>DD000000000000146067</v>
      </c>
      <c r="P78" t="str">
        <f t="shared" si="18"/>
        <v>Payroll Computer Checks</v>
      </c>
      <c r="Q78" s="19" t="str">
        <f>""</f>
        <v/>
      </c>
      <c r="R78" s="20">
        <v>90.8</v>
      </c>
      <c r="S78" s="20">
        <v>0</v>
      </c>
      <c r="T78" s="21">
        <f t="shared" si="19"/>
        <v>90.8</v>
      </c>
    </row>
    <row r="79" spans="1:20" x14ac:dyDescent="0.25">
      <c r="A79" s="1" t="s">
        <v>24</v>
      </c>
      <c r="B79" s="16"/>
      <c r="C79" s="16"/>
      <c r="F79" s="16" t="e">
        <f>#REF!</f>
        <v>#REF!</v>
      </c>
      <c r="G79" s="16" t="e">
        <f>#REF!</f>
        <v>#REF!</v>
      </c>
      <c r="H79" s="17"/>
    </row>
    <row r="80" spans="1:20" x14ac:dyDescent="0.25">
      <c r="A80" s="1" t="s">
        <v>24</v>
      </c>
      <c r="I80" s="50" t="str">
        <f>I73&amp;"   "&amp;J73&amp;"         Total:"</f>
        <v>5021-0-6120-0000   Fringe Benefits - Retirement         Total:</v>
      </c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22">
        <f>SUBTOTAL(9,T74:T79)</f>
        <v>429.28000000000003</v>
      </c>
    </row>
    <row r="81" spans="1:20" x14ac:dyDescent="0.25">
      <c r="A81" s="1" t="s">
        <v>24</v>
      </c>
    </row>
    <row r="82" spans="1:20" x14ac:dyDescent="0.25">
      <c r="A82" s="1" t="s">
        <v>24</v>
      </c>
    </row>
    <row r="83" spans="1:20" x14ac:dyDescent="0.25">
      <c r="A83" s="1" t="s">
        <v>24</v>
      </c>
      <c r="D83" s="1" t="str">
        <f>"||""Filter"",""Jet GL Transactions"",""Account Number"",""Transaction Date"",""10/1/2024..9/30/2025"",""Account Number"",""||""""Filter"""",""""Jet GL Transactions"""",""""Account Number"""",""""Segment 1"""",""""5021"""",""""Segment 2"""",""""*"""",""""Segment 4"""",""""0000|9050"""""""</f>
        <v>||"Filter","Jet GL Transactions","Account Number","Transaction Date","10/1/2024..9/30/2025","Account Number","||""Filter"",""Jet GL Transactions"",""Account Number"",""Segment 1"",""5021"",""Segment 2"",""*"",""Segment 4"",""0000|9050"""</v>
      </c>
      <c r="F83" s="1" t="str">
        <f>"5021-0-6160-0000"</f>
        <v>5021-0-6160-0000</v>
      </c>
      <c r="G83" s="1" t="str">
        <f>"5021-0-6160-0000"</f>
        <v>5021-0-6160-0000</v>
      </c>
      <c r="I83" s="14" t="str">
        <f>G83</f>
        <v>5021-0-6160-0000</v>
      </c>
      <c r="J83" s="14" t="str">
        <f>"Food"</f>
        <v>Food</v>
      </c>
      <c r="Q83" s="14"/>
      <c r="R83" s="15"/>
    </row>
    <row r="84" spans="1:20" x14ac:dyDescent="0.25">
      <c r="A84" s="1" t="s">
        <v>24</v>
      </c>
      <c r="B84" s="16"/>
      <c r="C84" s="16"/>
      <c r="F84" s="16" t="e">
        <f>#REF!</f>
        <v>#REF!</v>
      </c>
      <c r="G84" s="16" t="e">
        <f>#REF!</f>
        <v>#REF!</v>
      </c>
      <c r="H84" s="17"/>
      <c r="K84" t="str">
        <f>"""GP"",""Ute Indian Tribe Membership Fund"",""Jet GL Transactions"",""Account Category Description"",""Other Expenses"",""Account Category Number"",""42"",""Account Description"",""Food"",""Account Index"",""7845"",""Account Number"",""5021-0-6160-0000"",""Credit Amount"",""0.00000"","&amp;"""Debit Amount"",""304.17000"",""Document Date"",""1/1/1900"",""Document Number"",""22531714 071125"",""Document Sequence"",""32768"",""Period ID"",""10"",""Posting Type"",""Profit and Loss"",""Reference"",""Water"",""Row ID"",""5447777"",""Segment 1"",""5021"",""Segment 1 Description"",""Uint"&amp;"a River High School"",""Segment 10"","""",""Segment 10 Description"","""",""Segment 2"",""0"",""Segment 2 Description"","""",""Segment 3"",""6160"",""Segment 3 Description"","""",""Segment 4"",""0000"",""Segment 4 Description"","""",""Segment 5"","""",""Segment 5 Description"","""",""Segment 6"","""&amp;""",""Segment 6 Description"","""",""Segment 7"","""",""Segment 7 Description"","""",""Segment 8"","""",""Segment 8 Description"","""",""Segment 9"","""",""Segment 9 Description"","""",""Transaction Amount"",""304.17000"",""Transaction Date"",""7/11/2025"",""Transaction Description"",""Water"",""V"&amp;"endor Name"",""MOUNT OLYMPUS WATERS"",""Vendor Number"",""MOUNT OLYM01"",""Journal Entry"",""1616279"""</f>
        <v>"GP","Ute Indian Tribe Membership Fund","Jet GL Transactions","Account Category Description","Other Expenses","Account Category Number","42","Account Description","Food","Account Index","7845","Account Number","5021-0-6160-0000","Credit Amount","0.00000","Debit Amount","304.17000","Document Date","1/1/1900","Document Number","22531714 071125","Document Sequence","32768","Period ID","10","Posting Type","Profit and Loss","Reference","Water","Row ID","5447777","Segment 1","5021","Segment 1 Description","Uinta River High School","Segment 10","","Segment 10 Description","","Segment 2","0","Segment 2 Description","","Segment 3","6160","Segment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Amount","304.17000","Transaction Date","7/11/2025","Transaction Description","Water","Vendor Name","MOUNT OLYMPUS WATERS","Vendor Number","MOUNT OLYM01","Journal Entry","1616279"</v>
      </c>
      <c r="L84" s="18">
        <v>45849</v>
      </c>
      <c r="M84">
        <v>1616279</v>
      </c>
      <c r="N84" t="str">
        <f>"MOUNT OLYMPUS WATERS"</f>
        <v>MOUNT OLYMPUS WATERS</v>
      </c>
      <c r="O84" t="str">
        <f>"22531714 071125"</f>
        <v>22531714 071125</v>
      </c>
      <c r="P84" t="str">
        <f>"Water"</f>
        <v>Water</v>
      </c>
      <c r="Q84" s="19" t="str">
        <f>"Water"</f>
        <v>Water</v>
      </c>
      <c r="R84" s="20">
        <v>304.17</v>
      </c>
      <c r="S84" s="20">
        <v>0</v>
      </c>
      <c r="T84" s="21">
        <f t="shared" ref="T84" si="21">SUM(R84:S84)</f>
        <v>304.17</v>
      </c>
    </row>
    <row r="85" spans="1:20" x14ac:dyDescent="0.25">
      <c r="A85" s="1" t="s">
        <v>24</v>
      </c>
      <c r="B85" s="16"/>
      <c r="C85" s="16"/>
      <c r="F85" s="16" t="e">
        <f>#REF!</f>
        <v>#REF!</v>
      </c>
      <c r="G85" s="16" t="e">
        <f>#REF!</f>
        <v>#REF!</v>
      </c>
      <c r="H85" s="17"/>
    </row>
    <row r="86" spans="1:20" x14ac:dyDescent="0.25">
      <c r="A86" s="1" t="s">
        <v>24</v>
      </c>
      <c r="I86" s="50" t="str">
        <f>I83&amp;"   "&amp;J83&amp;"         Total:"</f>
        <v>5021-0-6160-0000   Food         Total:</v>
      </c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22">
        <f>SUBTOTAL(9,T84:T85)</f>
        <v>304.17</v>
      </c>
    </row>
    <row r="87" spans="1:20" x14ac:dyDescent="0.25">
      <c r="A87" s="1" t="s">
        <v>24</v>
      </c>
    </row>
    <row r="88" spans="1:20" x14ac:dyDescent="0.25">
      <c r="A88" s="1" t="s">
        <v>24</v>
      </c>
    </row>
    <row r="89" spans="1:20" x14ac:dyDescent="0.25">
      <c r="A89" s="1" t="s">
        <v>24</v>
      </c>
      <c r="D89" s="1" t="str">
        <f>"||""Filter"",""Jet GL Transactions"",""Account Number"",""Transaction Date"",""10/1/2024..9/30/2025"",""Account Number"",""||""""Filter"""",""""Jet GL Transactions"""",""""Account Number"""",""""Segment 1"""",""""5021"""",""""Segment 2"""",""""*"""",""""Segment 4"""",""""0000|9050"""""""</f>
        <v>||"Filter","Jet GL Transactions","Account Number","Transaction Date","10/1/2024..9/30/2025","Account Number","||""Filter"",""Jet GL Transactions"",""Account Number"",""Segment 1"",""5021"",""Segment 2"",""*"",""Segment 4"",""0000|9050"""</v>
      </c>
      <c r="F89" s="1" t="str">
        <f>"5021-0-6415-0000"</f>
        <v>5021-0-6415-0000</v>
      </c>
      <c r="G89" s="1" t="str">
        <f>"5021-0-6415-0000"</f>
        <v>5021-0-6415-0000</v>
      </c>
      <c r="I89" s="14" t="str">
        <f>G89</f>
        <v>5021-0-6415-0000</v>
      </c>
      <c r="J89" s="14" t="str">
        <f>"Other Supplies (Yearbook)"</f>
        <v>Other Supplies (Yearbook)</v>
      </c>
      <c r="Q89" s="14"/>
      <c r="R89" s="15"/>
    </row>
    <row r="90" spans="1:20" x14ac:dyDescent="0.25">
      <c r="A90" s="1" t="s">
        <v>24</v>
      </c>
      <c r="B90" s="16"/>
      <c r="C90" s="16"/>
      <c r="F90" s="16" t="e">
        <f>#REF!</f>
        <v>#REF!</v>
      </c>
      <c r="G90" s="16" t="e">
        <f>#REF!</f>
        <v>#REF!</v>
      </c>
      <c r="H90" s="17"/>
      <c r="K90" t="str">
        <f>"""GP"",""Ute Indian Tribe Membership Fund"",""Jet GL Transactions"",""Account Category Description"",""Other Expenses"",""Account Category Number"",""42"",""Account Description"",""Other Supplies (Yearbook)"",""Account Index"",""14875"",""Account Number"",""5021-0-6415-0000"",""Cre"&amp;"dit Amount"",""0.00000"",""Debit Amount"",""50.98000"",""Document Date"",""1/1/1900"",""Document Number"",""112-1969716-4856246"",""Document Sequence"",""32768"",""Period ID"",""11"",""Posting Type"",""Profit and Loss"",""Reference"",""Engineering class supplies"",""Row ID"",""5466216"",""S"&amp;"egment 1"",""5021"",""Segment 1 Description"",""Uinta River High School"",""Segment 10"","""",""Segment 10 Description"","""",""Segment 2"",""0"",""Segment 2 Description"","""",""Segment 3"",""6415"",""Segment 3 Description"","""",""Segment 4"",""0000"",""Segment 4 Description"","""",""Segment "&amp;"5"","""",""Segment 5 Description"","""",""Segment 6"","""",""Segment 6 Description"","""",""Segment 7"","""",""Segment 7 Description"","""",""Segment 8"","""",""Segment 8 Description"","""",""Segment 9"","""",""Segment 9 Description"","""",""Transaction Amount"",""50.98000"",""Transaction Date"",""8/"&amp;"11/2025"",""Transaction Description"",""Engineering class supplies"",""Vendor Name"",""CHRISTENSEN, AARON"",""Vendor Number"",""CHRISTENSEN AA"",""Journal Entry"",""1620135"""</f>
        <v>"GP","Ute Indian Tribe Membership Fund","Jet GL Transactions","Account Category Description","Other Expenses","Account Category Number","42","Account Description","Other Supplies (Yearbook)","Account Index","14875","Account Number","5021-0-6415-0000","Credit Amount","0.00000","Debit Amount","50.98000","Document Date","1/1/1900","Document Number","112-1969716-4856246","Document Sequence","32768","Period ID","11","Posting Type","Profit and Loss","Reference","Engineering class supplies","Row ID","5466216","Segment 1","5021","Segment 1 Description","Uinta River High School","Segment 10","","Segment 10 Description","","Segment 2","0","Segment 2 Description","","Segment 3","6415","Segment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Amount","50.98000","Transaction Date","8/11/2025","Transaction Description","Engineering class supplies","Vendor Name","CHRISTENSEN, AARON","Vendor Number","CHRISTENSEN AA","Journal Entry","1620135"</v>
      </c>
      <c r="L90" s="18">
        <v>45880</v>
      </c>
      <c r="M90">
        <v>1620135</v>
      </c>
      <c r="N90" t="str">
        <f>"CHRISTENSEN, AARON"</f>
        <v>CHRISTENSEN, AARON</v>
      </c>
      <c r="O90" t="str">
        <f>"112-1969716-4856246"</f>
        <v>112-1969716-4856246</v>
      </c>
      <c r="P90" t="str">
        <f t="shared" ref="P90:Q93" si="22">"Engineering class supplies"</f>
        <v>Engineering class supplies</v>
      </c>
      <c r="Q90" s="19" t="str">
        <f t="shared" si="22"/>
        <v>Engineering class supplies</v>
      </c>
      <c r="R90" s="20">
        <v>50.98</v>
      </c>
      <c r="S90" s="20">
        <v>0</v>
      </c>
      <c r="T90" s="21">
        <f t="shared" ref="T90:T93" si="23">SUM(R90:S90)</f>
        <v>50.98</v>
      </c>
    </row>
    <row r="91" spans="1:20" x14ac:dyDescent="0.25">
      <c r="A91" s="1" t="s">
        <v>24</v>
      </c>
      <c r="B91" s="16"/>
      <c r="C91" s="16"/>
      <c r="F91" s="16" t="e">
        <f t="shared" ref="F91:G93" si="24">F90</f>
        <v>#REF!</v>
      </c>
      <c r="G91" s="16" t="e">
        <f t="shared" si="24"/>
        <v>#REF!</v>
      </c>
      <c r="H91" s="17"/>
      <c r="K91" t="str">
        <f>"""GP"",""Ute Indian Tribe Membership Fund"",""Jet GL Transactions"",""Account Category Description"",""Other Expenses"",""Account Category Number"",""42"",""Account Description"",""Other Supplies (Yearbook)"",""Account Index"",""14875"",""Account Number"",""5021-0-6415-0000"",""Cre"&amp;"dit Amount"",""0.00000"",""Debit Amount"",""71.76000"",""Document Date"",""1/1/1900"",""Document Number"",""112-9081796-2343456"",""Document Sequence"",""32768"",""Period ID"",""11"",""Posting Type"",""Profit and Loss"",""Reference"",""Engineering class supplies"",""Row ID"",""5466210"",""S"&amp;"egment 1"",""5021"",""Segment 1 Description"",""Uinta River High School"",""Segment 10"","""",""Segment 10 Description"","""",""Segment 2"",""0"",""Segment 2 Description"","""",""Segment 3"",""6415"",""Segment 3 Description"","""",""Segment 4"",""0000"",""Segment 4 Description"","""",""Segment "&amp;"5"","""",""Segment 5 Description"","""",""Segment 6"","""",""Segment 6 Description"","""",""Segment 7"","""",""Segment 7 Description"","""",""Segment 8"","""",""Segment 8 Description"","""",""Segment 9"","""",""Segment 9 Description"","""",""Transaction Amount"",""71.76000"",""Transaction Date"",""8/"&amp;"11/2025"",""Transaction Description"",""Engineering class supplies"",""Vendor Name"",""CHRISTENSEN, AARON"",""Vendor Number"",""CHRISTENSEN AA"",""Journal Entry"",""1620132"""</f>
        <v>"GP","Ute Indian Tribe Membership Fund","Jet GL Transactions","Account Category Description","Other Expenses","Account Category Number","42","Account Description","Other Supplies (Yearbook)","Account Index","14875","Account Number","5021-0-6415-0000","Credit Amount","0.00000","Debit Amount","71.76000","Document Date","1/1/1900","Document Number","112-9081796-2343456","Document Sequence","32768","Period ID","11","Posting Type","Profit and Loss","Reference","Engineering class supplies","Row ID","5466210","Segment 1","5021","Segment 1 Description","Uinta River High School","Segment 10","","Segment 10 Description","","Segment 2","0","Segment 2 Description","","Segment 3","6415","Segment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Amount","71.76000","Transaction Date","8/11/2025","Transaction Description","Engineering class supplies","Vendor Name","CHRISTENSEN, AARON","Vendor Number","CHRISTENSEN AA","Journal Entry","1620132"</v>
      </c>
      <c r="L91" s="18">
        <v>45880</v>
      </c>
      <c r="M91">
        <v>1620132</v>
      </c>
      <c r="N91" t="str">
        <f>"CHRISTENSEN, AARON"</f>
        <v>CHRISTENSEN, AARON</v>
      </c>
      <c r="O91" t="str">
        <f>"112-9081796-2343456"</f>
        <v>112-9081796-2343456</v>
      </c>
      <c r="P91" t="str">
        <f t="shared" si="22"/>
        <v>Engineering class supplies</v>
      </c>
      <c r="Q91" s="19" t="str">
        <f t="shared" si="22"/>
        <v>Engineering class supplies</v>
      </c>
      <c r="R91" s="20">
        <v>71.760000000000005</v>
      </c>
      <c r="S91" s="20">
        <v>0</v>
      </c>
      <c r="T91" s="21">
        <f t="shared" si="23"/>
        <v>71.760000000000005</v>
      </c>
    </row>
    <row r="92" spans="1:20" x14ac:dyDescent="0.25">
      <c r="A92" s="1" t="s">
        <v>24</v>
      </c>
      <c r="B92" s="16"/>
      <c r="C92" s="16"/>
      <c r="F92" s="16" t="e">
        <f t="shared" si="24"/>
        <v>#REF!</v>
      </c>
      <c r="G92" s="16" t="e">
        <f t="shared" si="24"/>
        <v>#REF!</v>
      </c>
      <c r="H92" s="17"/>
      <c r="K92" t="str">
        <f>"""GP"",""Ute Indian Tribe Membership Fund"",""Jet GL Transactions"",""Account Category Description"",""Other Expenses"",""Account Category Number"",""42"",""Account Description"",""Other Supplies (Yearbook)"",""Account Index"",""14875"",""Account Number"",""5021-0-6415-0000"",""Cre"&amp;"dit Amount"",""0.00000"",""Debit Amount"",""134.98000"",""Document Date"",""1/1/1900"",""Document Number"",""112-8351314-0615402"",""Document Sequence"",""32768"",""Period ID"",""11"",""Posting Type"",""Profit and Loss"",""Reference"",""Engineering class supplies"",""Row ID"",""5466212"","""&amp;"Segment 1"",""5021"",""Segment 1 Description"",""Uinta River High School"",""Segment 10"","""",""Segment 10 Description"","""",""Segment 2"",""0"",""Segment 2 Description"","""",""Segment 3"",""6415"",""Segment 3 Description"","""",""Segment 4"",""0000"",""Segment 4 Description"","""",""Segment"&amp;" 5"","""",""Segment 5 Description"","""",""Segment 6"","""",""Segment 6 Description"","""",""Segment 7"","""",""Segment 7 Description"","""",""Segment 8"","""",""Segment 8 Description"","""",""Segment 9"","""",""Segment 9 Description"","""",""Transaction Amount"",""134.98000"",""Transaction Date"","""&amp;"8/11/2025"",""Transaction Description"",""Engineering class supplies"",""Vendor Name"",""CHRISTENSEN, AARON"",""Vendor Number"",""CHRISTENSEN AA"",""Journal Entry"",""1620133"""</f>
        <v>"GP","Ute Indian Tribe Membership Fund","Jet GL Transactions","Account Category Description","Other Expenses","Account Category Number","42","Account Description","Other Supplies (Yearbook)","Account Index","14875","Account Number","5021-0-6415-0000","Credit Amount","0.00000","Debit Amount","134.98000","Document Date","1/1/1900","Document Number","112-8351314-0615402","Document Sequence","32768","Period ID","11","Posting Type","Profit and Loss","Reference","Engineering class supplies","Row ID","5466212","Segment 1","5021","Segment 1 Description","Uinta River High School","Segment 10","","Segment 10 Description","","Segment 2","0","Segment 2 Description","","Segment 3","6415","Segment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Amount","134.98000","Transaction Date","8/11/2025","Transaction Description","Engineering class supplies","Vendor Name","CHRISTENSEN, AARON","Vendor Number","CHRISTENSEN AA","Journal Entry","1620133"</v>
      </c>
      <c r="L92" s="18">
        <v>45880</v>
      </c>
      <c r="M92">
        <v>1620133</v>
      </c>
      <c r="N92" t="str">
        <f>"CHRISTENSEN, AARON"</f>
        <v>CHRISTENSEN, AARON</v>
      </c>
      <c r="O92" t="str">
        <f>"112-8351314-0615402"</f>
        <v>112-8351314-0615402</v>
      </c>
      <c r="P92" t="str">
        <f t="shared" si="22"/>
        <v>Engineering class supplies</v>
      </c>
      <c r="Q92" s="19" t="str">
        <f t="shared" si="22"/>
        <v>Engineering class supplies</v>
      </c>
      <c r="R92" s="20">
        <v>134.97999999999999</v>
      </c>
      <c r="S92" s="20">
        <v>0</v>
      </c>
      <c r="T92" s="21">
        <f t="shared" si="23"/>
        <v>134.97999999999999</v>
      </c>
    </row>
    <row r="93" spans="1:20" x14ac:dyDescent="0.25">
      <c r="A93" s="1" t="s">
        <v>24</v>
      </c>
      <c r="B93" s="16"/>
      <c r="C93" s="16"/>
      <c r="F93" s="16" t="e">
        <f t="shared" si="24"/>
        <v>#REF!</v>
      </c>
      <c r="G93" s="16" t="e">
        <f t="shared" si="24"/>
        <v>#REF!</v>
      </c>
      <c r="H93" s="17"/>
      <c r="K93" t="str">
        <f>"""GP"",""Ute Indian Tribe Membership Fund"",""Jet GL Transactions"",""Account Category Description"",""Other Expenses"",""Account Category Number"",""42"",""Account Description"",""Other Supplies (Yearbook)"",""Account Index"",""14875"",""Account Number"",""5021-0-6415-0000"",""Cre"&amp;"dit Amount"",""0.00000"",""Debit Amount"",""189.98000"",""Document Date"",""1/1/1900"",""Document Number"",""112-6224982-4786650"",""Document Sequence"",""32768"",""Period ID"",""11"",""Posting Type"",""Profit and Loss"",""Reference"",""Engineering class supplies"",""Row ID"",""5466214"","""&amp;"Segment 1"",""5021"",""Segment 1 Description"",""Uinta River High School"",""Segment 10"","""",""Segment 10 Description"","""",""Segment 2"",""0"",""Segment 2 Description"","""",""Segment 3"",""6415"",""Segment 3 Description"","""",""Segment 4"",""0000"",""Segment 4 Description"","""",""Segment"&amp;" 5"","""",""Segment 5 Description"","""",""Segment 6"","""",""Segment 6 Description"","""",""Segment 7"","""",""Segment 7 Description"","""",""Segment 8"","""",""Segment 8 Description"","""",""Segment 9"","""",""Segment 9 Description"","""",""Transaction Amount"",""189.98000"",""Transaction Date"","""&amp;"8/11/2025"",""Transaction Description"",""Engineering class supplies"",""Vendor Name"",""CHRISTENSEN, AARON"",""Vendor Number"",""CHRISTENSEN AA"",""Journal Entry"",""1620134"""</f>
        <v>"GP","Ute Indian Tribe Membership Fund","Jet GL Transactions","Account Category Description","Other Expenses","Account Category Number","42","Account Description","Other Supplies (Yearbook)","Account Index","14875","Account Number","5021-0-6415-0000","Credit Amount","0.00000","Debit Amount","189.98000","Document Date","1/1/1900","Document Number","112-6224982-4786650","Document Sequence","32768","Period ID","11","Posting Type","Profit and Loss","Reference","Engineering class supplies","Row ID","5466214","Segment 1","5021","Segment 1 Description","Uinta River High School","Segment 10","","Segment 10 Description","","Segment 2","0","Segment 2 Description","","Segment 3","6415","Segment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Amount","189.98000","Transaction Date","8/11/2025","Transaction Description","Engineering class supplies","Vendor Name","CHRISTENSEN, AARON","Vendor Number","CHRISTENSEN AA","Journal Entry","1620134"</v>
      </c>
      <c r="L93" s="18">
        <v>45880</v>
      </c>
      <c r="M93">
        <v>1620134</v>
      </c>
      <c r="N93" t="str">
        <f>"CHRISTENSEN, AARON"</f>
        <v>CHRISTENSEN, AARON</v>
      </c>
      <c r="O93" t="str">
        <f>"112-6224982-4786650"</f>
        <v>112-6224982-4786650</v>
      </c>
      <c r="P93" t="str">
        <f t="shared" si="22"/>
        <v>Engineering class supplies</v>
      </c>
      <c r="Q93" s="19" t="str">
        <f t="shared" si="22"/>
        <v>Engineering class supplies</v>
      </c>
      <c r="R93" s="20">
        <v>189.98</v>
      </c>
      <c r="S93" s="20">
        <v>0</v>
      </c>
      <c r="T93" s="21">
        <f t="shared" si="23"/>
        <v>189.98</v>
      </c>
    </row>
    <row r="94" spans="1:20" x14ac:dyDescent="0.25">
      <c r="A94" s="1" t="s">
        <v>24</v>
      </c>
      <c r="B94" s="16"/>
      <c r="C94" s="16"/>
      <c r="F94" s="16" t="e">
        <f>#REF!</f>
        <v>#REF!</v>
      </c>
      <c r="G94" s="16" t="e">
        <f>#REF!</f>
        <v>#REF!</v>
      </c>
      <c r="H94" s="17"/>
    </row>
    <row r="95" spans="1:20" x14ac:dyDescent="0.25">
      <c r="A95" s="1" t="s">
        <v>24</v>
      </c>
      <c r="I95" s="50" t="str">
        <f>I89&amp;"   "&amp;J89&amp;"         Total:"</f>
        <v>5021-0-6415-0000   Other Supplies (Yearbook)         Total:</v>
      </c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22">
        <f>SUBTOTAL(9,T90:T94)</f>
        <v>447.70000000000005</v>
      </c>
    </row>
    <row r="96" spans="1:20" x14ac:dyDescent="0.25">
      <c r="A96" s="1" t="s">
        <v>24</v>
      </c>
    </row>
    <row r="97" spans="1:20" x14ac:dyDescent="0.25">
      <c r="A97" s="1" t="s">
        <v>24</v>
      </c>
    </row>
    <row r="98" spans="1:20" x14ac:dyDescent="0.25">
      <c r="A98" s="1" t="s">
        <v>24</v>
      </c>
      <c r="D98" s="1" t="str">
        <f>"||""Filter"",""Jet GL Transactions"",""Account Number"",""Transaction Date"",""10/1/2024..9/30/2025"",""Account Number"",""||""""Filter"""",""""Jet GL Transactions"""",""""Account Number"""",""""Segment 1"""",""""5021"""",""""Segment 2"""",""""*"""",""""Segment 4"""",""""0000|9050"""""""</f>
        <v>||"Filter","Jet GL Transactions","Account Number","Transaction Date","10/1/2024..9/30/2025","Account Number","||""Filter"",""Jet GL Transactions"",""Account Number"",""Segment 1"",""5021"",""Segment 2"",""*"",""Segment 4"",""0000|9050"""</v>
      </c>
      <c r="F98" s="1" t="str">
        <f>"5021-0-7030-0000"</f>
        <v>5021-0-7030-0000</v>
      </c>
      <c r="G98" s="1" t="str">
        <f>"5021-0-7030-0000"</f>
        <v>5021-0-7030-0000</v>
      </c>
      <c r="I98" s="14" t="str">
        <f>G98</f>
        <v>5021-0-7030-0000</v>
      </c>
      <c r="J98" s="14" t="str">
        <f>"Activity and Field Trip Fees"</f>
        <v>Activity and Field Trip Fees</v>
      </c>
      <c r="Q98" s="14"/>
      <c r="R98" s="15"/>
    </row>
    <row r="99" spans="1:20" x14ac:dyDescent="0.25">
      <c r="A99" s="1" t="s">
        <v>24</v>
      </c>
      <c r="B99" s="16"/>
      <c r="C99" s="16"/>
      <c r="F99" s="16" t="e">
        <f>#REF!</f>
        <v>#REF!</v>
      </c>
      <c r="G99" s="16" t="e">
        <f>#REF!</f>
        <v>#REF!</v>
      </c>
      <c r="H99" s="17"/>
      <c r="K99" t="str">
        <f>"""GP"",""Ute Indian Tribe Membership Fund"",""Jet GL Transactions"",""Account Category Description"",""Other Expenses"",""Account Category Number"",""42"",""Account Description"",""Activity and Field Trip Fees"",""Account Index"",""7868"",""Account Number"",""5021-0-7030-0000"",""C"&amp;"redit Amount"",""0.00000"",""Debit Amount"",""38.00000"",""Document Date"",""1/1/1900"",""Document Number"",""A02433292 FALL 2025"",""Document Sequence"",""32768"",""Period ID"",""11"",""Posting Type"",""Profit and Loss"",""Reference"",""Student registration fee"",""Row ID"",""5464219"",""S"&amp;"egment 1"",""5021"",""Segment 1 Description"",""Uinta River High School"",""Segment 10"","""",""Segment 10 Description"","""",""Segment 2"",""0"",""Segment 2 Description"","""",""Segment 3"",""7030"",""Segment 3 Description"","""",""Segment 4"",""0000"",""Segment 4 Description"","""",""Segment "&amp;"5"","""",""Segment 5 Description"","""",""Segment 6"","""",""Segment 6 Description"","""",""Segment 7"","""",""Segment 7 Description"","""",""Segment 8"","""",""Segment 8 Description"","""",""Segment 9"","""",""Segment 9 Description"","""",""Transaction Amount"",""38.00000"",""Transaction Date"",""8/"&amp;"7/2025"",""Transaction Description"",""Student registration fee"",""Vendor Name"",""Brittany A. Luck"",""Vendor Number"",""LUCK, BRITTANY"",""Journal Entry"",""1619324"""</f>
        <v>"GP","Ute Indian Tribe Membership Fund","Jet GL Transactions","Account Category Description","Other Expenses","Account Category Number","42","Account Description","Activity and Field Trip Fees","Account Index","7868","Account Number","5021-0-7030-0000","Credit Amount","0.00000","Debit Amount","38.00000","Document Date","1/1/1900","Document Number","A02433292 FALL 2025","Document Sequence","32768","Period ID","11","Posting Type","Profit and Loss","Reference","Student registration fee","Row ID","5464219","Segment 1","5021","Segment 1 Description","Uinta River High School","Segment 10","","Segment 10 Description","","Segment 2","0","Segment 2 Description","","Segment 3","7030","Segment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Amount","38.00000","Transaction Date","8/7/2025","Transaction Description","Student registration fee","Vendor Name","Brittany A. Luck","Vendor Number","LUCK, BRITTANY","Journal Entry","1619324"</v>
      </c>
      <c r="L99" s="18">
        <v>45876</v>
      </c>
      <c r="M99">
        <v>1619324</v>
      </c>
      <c r="N99" t="str">
        <f>"Brittany A. Luck"</f>
        <v>Brittany A. Luck</v>
      </c>
      <c r="O99" t="str">
        <f>"A02433292 FALL 2025"</f>
        <v>A02433292 FALL 2025</v>
      </c>
      <c r="P99" t="str">
        <f>"Student registration fee"</f>
        <v>Student registration fee</v>
      </c>
      <c r="Q99" s="19" t="str">
        <f>"Student registration fee"</f>
        <v>Student registration fee</v>
      </c>
      <c r="R99" s="20">
        <v>38</v>
      </c>
      <c r="S99" s="20">
        <v>0</v>
      </c>
      <c r="T99" s="21">
        <f t="shared" ref="T99:T100" si="25">SUM(R99:S99)</f>
        <v>38</v>
      </c>
    </row>
    <row r="100" spans="1:20" x14ac:dyDescent="0.25">
      <c r="A100" s="1" t="s">
        <v>24</v>
      </c>
      <c r="B100" s="16"/>
      <c r="C100" s="16"/>
      <c r="F100" s="16" t="e">
        <f t="shared" ref="F100:G100" si="26">F99</f>
        <v>#REF!</v>
      </c>
      <c r="G100" s="16" t="e">
        <f t="shared" si="26"/>
        <v>#REF!</v>
      </c>
      <c r="H100" s="17"/>
      <c r="K100" t="str">
        <f>"""GP"",""Ute Indian Tribe Membership Fund"",""Jet GL Transactions"",""Account Category Description"",""Other Expenses"",""Account Category Number"",""42"",""Account Description"",""Activity and Field Trip Fees"",""Account Index"",""7868"",""Account Number"",""5021-0-7030-0000"",""C"&amp;"redit Amount"",""0.00000"",""Debit Amount"",""84.95000"",""Document Date"",""1/1/1900"",""Document Number"",""A02486505 FALL 2025"",""Document Sequence"",""32768"",""Period ID"",""11"",""Posting Type"",""Profit and Loss"",""Reference"",""Student registration fee"",""Row ID"",""5464217"",""S"&amp;"egment 1"",""5021"",""Segment 1 Description"",""Uinta River High School"",""Segment 10"","""",""Segment 10 Description"","""",""Segment 2"",""0"",""Segment 2 Description"","""",""Segment 3"",""7030"",""Segment 3 Description"","""",""Segment 4"",""0000"",""Segment 4 Description"","""",""Segment "&amp;"5"","""",""Segment 5 Description"","""",""Segment 6"","""",""Segment 6 Description"","""",""Segment 7"","""",""Segment 7 Description"","""",""Segment 8"","""",""Segment 8 Description"","""",""Segment 9"","""",""Segment 9 Description"","""",""Transaction Amount"",""84.95000"",""Transaction Date"",""8/"&amp;"7/2025"",""Transaction Description"",""Student registration fee"",""Vendor Name"",""Brittany A. Luck"",""Vendor Number"",""LUCK, BRITTANY"",""Journal Entry"",""1619323"""</f>
        <v>"GP","Ute Indian Tribe Membership Fund","Jet GL Transactions","Account Category Description","Other Expenses","Account Category Number","42","Account Description","Activity and Field Trip Fees","Account Index","7868","Account Number","5021-0-7030-0000","Credit Amount","0.00000","Debit Amount","84.95000","Document Date","1/1/1900","Document Number","A02486505 FALL 2025","Document Sequence","32768","Period ID","11","Posting Type","Profit and Loss","Reference","Student registration fee","Row ID","5464217","Segment 1","5021","Segment 1 Description","Uinta River High School","Segment 10","","Segment 10 Description","","Segment 2","0","Segment 2 Description","","Segment 3","7030","Segment 3 Description","","Segment 4","0000","Segment 4 Description","","Segment 5","","Segment 5 Description","","Segment 6","","Segment 6 Description","","Segment 7","","Segment 7 Description","","Segment 8","","Segment 8 Description","","Segment 9","","Segment 9 Description","","Transaction Amount","84.95000","Transaction Date","8/7/2025","Transaction Description","Student registration fee","Vendor Name","Brittany A. Luck","Vendor Number","LUCK, BRITTANY","Journal Entry","1619323"</v>
      </c>
      <c r="L100" s="18">
        <v>45876</v>
      </c>
      <c r="M100">
        <v>1619323</v>
      </c>
      <c r="N100" t="str">
        <f>"Brittany A. Luck"</f>
        <v>Brittany A. Luck</v>
      </c>
      <c r="O100" t="str">
        <f>"A02486505 FALL 2025"</f>
        <v>A02486505 FALL 2025</v>
      </c>
      <c r="P100" t="str">
        <f>"Student registration fee"</f>
        <v>Student registration fee</v>
      </c>
      <c r="Q100" s="19" t="str">
        <f>"Student registration fee"</f>
        <v>Student registration fee</v>
      </c>
      <c r="R100" s="20">
        <v>84.95</v>
      </c>
      <c r="S100" s="20">
        <v>0</v>
      </c>
      <c r="T100" s="21">
        <f t="shared" si="25"/>
        <v>84.95</v>
      </c>
    </row>
    <row r="101" spans="1:20" x14ac:dyDescent="0.25">
      <c r="A101" s="1" t="s">
        <v>24</v>
      </c>
      <c r="B101" s="16"/>
      <c r="C101" s="16"/>
      <c r="F101" s="16" t="e">
        <f>#REF!</f>
        <v>#REF!</v>
      </c>
      <c r="G101" s="16" t="e">
        <f>#REF!</f>
        <v>#REF!</v>
      </c>
      <c r="H101" s="17"/>
    </row>
    <row r="102" spans="1:20" x14ac:dyDescent="0.25">
      <c r="A102" s="1" t="s">
        <v>24</v>
      </c>
      <c r="I102" s="50" t="str">
        <f>I98&amp;"   "&amp;J98&amp;"         Total:"</f>
        <v>5021-0-7030-0000   Activity and Field Trip Fees         Total:</v>
      </c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22">
        <f>SUBTOTAL(9,T99:T101)</f>
        <v>122.95</v>
      </c>
    </row>
    <row r="103" spans="1:20" ht="15.75" hidden="1" thickBot="1" x14ac:dyDescent="0.3">
      <c r="A103" s="1" t="s">
        <v>1</v>
      </c>
      <c r="I103" s="48" t="s">
        <v>25</v>
      </c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23" t="e">
        <f>SUBTOTAL(9,#REF!)</f>
        <v>#REF!</v>
      </c>
    </row>
  </sheetData>
  <mergeCells count="11">
    <mergeCell ref="I103:S103"/>
    <mergeCell ref="I6:O6"/>
    <mergeCell ref="I95:S95"/>
    <mergeCell ref="I102:S102"/>
    <mergeCell ref="I61:S61"/>
    <mergeCell ref="I70:S70"/>
    <mergeCell ref="I80:S80"/>
    <mergeCell ref="I86:S86"/>
    <mergeCell ref="I7:M7"/>
    <mergeCell ref="I23:S23"/>
    <mergeCell ref="I32:S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8"/>
  <sheetViews>
    <sheetView showGridLines="0" topLeftCell="H1" zoomScale="80" zoomScaleNormal="80" workbookViewId="0">
      <pane ySplit="15" topLeftCell="A16" activePane="bottomLeft" state="frozen"/>
      <selection pane="bottomLeft" activeCell="I7" sqref="I7:K7"/>
    </sheetView>
  </sheetViews>
  <sheetFormatPr defaultRowHeight="12.75" x14ac:dyDescent="0.2"/>
  <cols>
    <col min="1" max="1" width="11.85546875" style="24" hidden="1" customWidth="1"/>
    <col min="2" max="2" width="17.85546875" style="24" hidden="1" customWidth="1"/>
    <col min="3" max="5" width="17.7109375" style="24" hidden="1" customWidth="1"/>
    <col min="6" max="6" width="9.140625" style="24" hidden="1" customWidth="1"/>
    <col min="7" max="7" width="11.140625" style="24" hidden="1" customWidth="1"/>
    <col min="8" max="8" width="2.140625" style="29" customWidth="1"/>
    <col min="9" max="9" width="17.42578125" style="30" bestFit="1" customWidth="1"/>
    <col min="10" max="10" width="44.140625" style="30" bestFit="1" customWidth="1"/>
    <col min="11" max="11" width="22.5703125" style="30" hidden="1" customWidth="1"/>
    <col min="12" max="12" width="17.85546875" style="30" bestFit="1" customWidth="1"/>
    <col min="13" max="13" width="12.140625" style="30" bestFit="1" customWidth="1"/>
    <col min="14" max="14" width="35.7109375" style="30" bestFit="1" customWidth="1"/>
    <col min="15" max="15" width="23.5703125" style="30" bestFit="1" customWidth="1"/>
    <col min="16" max="16" width="26" style="30" bestFit="1" customWidth="1"/>
    <col min="17" max="17" width="16.42578125" style="30" bestFit="1" customWidth="1"/>
    <col min="18" max="18" width="14.85546875" style="30" bestFit="1" customWidth="1"/>
    <col min="19" max="19" width="15.85546875" style="30" bestFit="1" customWidth="1"/>
    <col min="20" max="20" width="13" style="30" bestFit="1" customWidth="1"/>
    <col min="21" max="16384" width="9.140625" style="30"/>
  </cols>
  <sheetData>
    <row r="1" spans="1:20" s="24" customFormat="1" hidden="1" x14ac:dyDescent="0.2">
      <c r="A1" s="24" t="s">
        <v>27</v>
      </c>
      <c r="B1" s="25" t="s">
        <v>1</v>
      </c>
      <c r="C1" s="25" t="s">
        <v>1</v>
      </c>
      <c r="D1" s="25" t="s">
        <v>1</v>
      </c>
      <c r="E1" s="25" t="s">
        <v>1</v>
      </c>
      <c r="F1" s="25" t="s">
        <v>1</v>
      </c>
      <c r="G1" s="25" t="s">
        <v>1</v>
      </c>
      <c r="H1" s="25"/>
      <c r="I1" s="24" t="s">
        <v>2</v>
      </c>
      <c r="J1" s="24" t="s">
        <v>2</v>
      </c>
      <c r="K1" s="24" t="s">
        <v>1</v>
      </c>
      <c r="L1" s="24" t="s">
        <v>2</v>
      </c>
      <c r="M1" s="24" t="s">
        <v>2</v>
      </c>
      <c r="N1" s="24" t="s">
        <v>2</v>
      </c>
      <c r="O1" s="24" t="s">
        <v>2</v>
      </c>
      <c r="P1" s="24" t="s">
        <v>2</v>
      </c>
      <c r="Q1" s="24" t="s">
        <v>2</v>
      </c>
      <c r="R1" s="24" t="s">
        <v>2</v>
      </c>
      <c r="S1" s="24" t="s">
        <v>2</v>
      </c>
      <c r="T1" s="24" t="s">
        <v>2</v>
      </c>
    </row>
    <row r="2" spans="1:20" s="24" customFormat="1" ht="15" hidden="1" x14ac:dyDescent="0.25">
      <c r="A2" s="24" t="s">
        <v>1</v>
      </c>
      <c r="B2" s="24" t="s">
        <v>3</v>
      </c>
      <c r="C2" s="26">
        <f ca="1">DATE(IF(MONTH(TODAY())&gt;=10,YEAR(TODAY()),YEAR(TODAY())-1),10,1)</f>
        <v>45566</v>
      </c>
      <c r="D2" s="27"/>
      <c r="E2" s="27"/>
      <c r="F2" s="27"/>
      <c r="G2" s="27"/>
      <c r="H2" s="27"/>
    </row>
    <row r="3" spans="1:20" s="24" customFormat="1" ht="15" hidden="1" x14ac:dyDescent="0.25">
      <c r="A3" s="24" t="s">
        <v>1</v>
      </c>
      <c r="B3" s="24" t="s">
        <v>4</v>
      </c>
      <c r="C3" s="26">
        <f ca="1">EOMONTH(TODAY(),0)</f>
        <v>45930</v>
      </c>
      <c r="D3" s="27"/>
      <c r="E3" s="27"/>
      <c r="F3" s="27"/>
      <c r="G3" s="27"/>
      <c r="H3" s="27"/>
    </row>
    <row r="4" spans="1:20" s="24" customFormat="1" hidden="1" x14ac:dyDescent="0.2">
      <c r="A4" s="25" t="s">
        <v>1</v>
      </c>
      <c r="B4" s="24" t="s">
        <v>5</v>
      </c>
      <c r="C4" s="28" t="str">
        <f>DateFilter</f>
        <v>..9/30/2020</v>
      </c>
      <c r="D4" s="28"/>
      <c r="E4" s="28"/>
      <c r="F4" s="28"/>
      <c r="G4" s="28"/>
      <c r="H4" s="28"/>
    </row>
    <row r="5" spans="1:20" s="24" customFormat="1" x14ac:dyDescent="0.2">
      <c r="A5" s="25"/>
      <c r="B5" s="24" t="s">
        <v>28</v>
      </c>
      <c r="C5" s="28" t="str">
        <f>Grant</f>
        <v>3420 FIA 54 UT 2025 5101</v>
      </c>
      <c r="D5" s="28"/>
      <c r="E5" s="28"/>
      <c r="F5" s="28"/>
      <c r="G5" s="28"/>
      <c r="H5" s="28"/>
    </row>
    <row r="6" spans="1:20" x14ac:dyDescent="0.2">
      <c r="B6" s="24" t="s">
        <v>29</v>
      </c>
      <c r="C6" s="28" t="str">
        <f>Grant</f>
        <v>3420 FIA 54 UT 2025 5101</v>
      </c>
      <c r="D6" s="28"/>
      <c r="E6" s="28"/>
    </row>
    <row r="7" spans="1:20" ht="23.25" x14ac:dyDescent="0.35">
      <c r="B7" s="24" t="s">
        <v>7</v>
      </c>
      <c r="C7" s="28"/>
      <c r="D7" s="28"/>
      <c r="E7" s="28"/>
      <c r="I7" s="54" t="s">
        <v>33</v>
      </c>
      <c r="J7" s="54"/>
      <c r="K7" s="54"/>
    </row>
    <row r="8" spans="1:20" ht="14.25" x14ac:dyDescent="0.2">
      <c r="B8" s="24" t="s">
        <v>9</v>
      </c>
      <c r="C8" s="28"/>
      <c r="D8" s="28"/>
      <c r="E8" s="28"/>
      <c r="I8" s="55" t="str">
        <f ca="1">"For the Period of "&amp;TEXT($C$2,"MMMM D, YYYY")&amp;" through "&amp;TEXT($C$3,"MMMM D, YYYY")</f>
        <v>For the Period of October 1, 2024 through September 30, 2025</v>
      </c>
      <c r="J8" s="55"/>
      <c r="K8" s="55"/>
      <c r="L8" s="55"/>
      <c r="M8" s="55"/>
    </row>
    <row r="9" spans="1:20" x14ac:dyDescent="0.2">
      <c r="B9" s="24" t="s">
        <v>10</v>
      </c>
      <c r="C9" s="31" t="str">
        <f ca="1">YEAR($C$2)&amp;"/0"</f>
        <v>2024/0</v>
      </c>
      <c r="D9" s="28"/>
      <c r="E9" s="28"/>
    </row>
    <row r="10" spans="1:20" x14ac:dyDescent="0.2">
      <c r="B10" s="24" t="s">
        <v>11</v>
      </c>
      <c r="D10" s="31"/>
      <c r="E10" s="31"/>
      <c r="I10" s="30" t="str">
        <f>B6</f>
        <v>Contract</v>
      </c>
      <c r="J10" s="32" t="str">
        <f>C6</f>
        <v>3420 FIA 54 UT 2025 5101</v>
      </c>
      <c r="K10" s="33"/>
      <c r="L10" s="32"/>
    </row>
    <row r="11" spans="1:20" x14ac:dyDescent="0.2">
      <c r="I11" s="30" t="str">
        <f>B7</f>
        <v>Location</v>
      </c>
      <c r="J11" s="32"/>
      <c r="L11" s="34"/>
    </row>
    <row r="12" spans="1:20" ht="14.25" x14ac:dyDescent="0.2">
      <c r="I12" s="30" t="str">
        <f>B8</f>
        <v>Company</v>
      </c>
      <c r="J12" s="32"/>
      <c r="R12" s="35" t="s">
        <v>12</v>
      </c>
      <c r="S12" s="36">
        <v>45913</v>
      </c>
    </row>
    <row r="15" spans="1:20" x14ac:dyDescent="0.2">
      <c r="I15" s="37" t="s">
        <v>13</v>
      </c>
      <c r="J15" s="37" t="s">
        <v>14</v>
      </c>
      <c r="K15" s="37"/>
      <c r="L15" s="37" t="s">
        <v>15</v>
      </c>
      <c r="M15" s="37" t="s">
        <v>16</v>
      </c>
      <c r="N15" s="37" t="s">
        <v>17</v>
      </c>
      <c r="O15" s="37" t="s">
        <v>18</v>
      </c>
      <c r="P15" s="37" t="s">
        <v>19</v>
      </c>
      <c r="Q15" s="37" t="s">
        <v>30</v>
      </c>
      <c r="R15" s="37" t="s">
        <v>21</v>
      </c>
      <c r="S15" s="37" t="s">
        <v>22</v>
      </c>
      <c r="T15" s="37" t="s">
        <v>23</v>
      </c>
    </row>
    <row r="18" spans="1:20" x14ac:dyDescent="0.2">
      <c r="A18" s="24" t="s">
        <v>24</v>
      </c>
      <c r="F18" s="24" t="str">
        <f>"5021-0-6100-3420"</f>
        <v>5021-0-6100-3420</v>
      </c>
      <c r="G18" s="24" t="str">
        <f>"5021-0-6100-3420"</f>
        <v>5021-0-6100-3420</v>
      </c>
      <c r="I18" s="38" t="str">
        <f>G18</f>
        <v>5021-0-6100-3420</v>
      </c>
      <c r="J18" s="38" t="str">
        <f>"Salaries &amp; Wages"</f>
        <v>Salaries &amp; Wages</v>
      </c>
      <c r="Q18" s="38"/>
      <c r="R18" s="39"/>
    </row>
    <row r="19" spans="1:20" ht="15" x14ac:dyDescent="0.25">
      <c r="A19" s="24" t="s">
        <v>24</v>
      </c>
      <c r="B19" s="40"/>
      <c r="C19" s="40"/>
      <c r="F19" s="40" t="e">
        <f>#REF!</f>
        <v>#REF!</v>
      </c>
      <c r="G19" s="40" t="e">
        <f>#REF!</f>
        <v>#REF!</v>
      </c>
      <c r="H19" s="41"/>
      <c r="K19" s="30" t="str">
        <f>"""GP"",""Ute Indian Tribe Membership Fund"",""aaa_contract_detail_sp"",""JRNENTRY"",""1612448"",""aaGLHdrID"",""1782059"",""aaGLDistID"",""17"",""aaGLAssignID"",""1"",""contract"",""3420 FIA 54 UT 2025 5101"""</f>
        <v>"GP","Ute Indian Tribe Membership Fund","aaa_contract_detail_sp","JRNENTRY","1612448","aaGLHdrID","1782059","aaGLDistID","17","aaGLAssignID","1","contract","3420 FIA 54 UT 2025 5101"</v>
      </c>
      <c r="L19" s="42">
        <v>45840</v>
      </c>
      <c r="M19" s="30">
        <v>1612448</v>
      </c>
      <c r="N19" s="30" t="str">
        <f>""</f>
        <v/>
      </c>
      <c r="O19" s="30" t="str">
        <f>""</f>
        <v/>
      </c>
      <c r="P19" s="30" t="str">
        <f>""</f>
        <v/>
      </c>
      <c r="Q19" s="43" t="str">
        <f>""</f>
        <v/>
      </c>
      <c r="R19" s="44">
        <v>2824.32</v>
      </c>
      <c r="S19" s="44">
        <v>0</v>
      </c>
      <c r="T19" s="45">
        <f>SUM(R19:S19)</f>
        <v>2824.32</v>
      </c>
    </row>
    <row r="20" spans="1:20" ht="15" x14ac:dyDescent="0.25">
      <c r="A20" s="24" t="s">
        <v>24</v>
      </c>
      <c r="B20" s="40"/>
      <c r="C20" s="40"/>
      <c r="F20" s="40" t="e">
        <f>F19</f>
        <v>#REF!</v>
      </c>
      <c r="G20" s="40" t="e">
        <f>G19</f>
        <v>#REF!</v>
      </c>
      <c r="H20" s="41"/>
      <c r="K20" s="30" t="str">
        <f>"""GP"",""Ute Indian Tribe Membership Fund"",""aaa_contract_detail_sp"",""JRNENTRY"",""1612554"",""aaGLHdrID"",""1782164"",""aaGLDistID"",""15"",""aaGLAssignID"",""1"",""contract"",""3420 FIA 54 UT 2025 5101"""</f>
        <v>"GP","Ute Indian Tribe Membership Fund","aaa_contract_detail_sp","JRNENTRY","1612554","aaGLHdrID","1782164","aaGLDistID","15","aaGLAssignID","1","contract","3420 FIA 54 UT 2025 5101"</v>
      </c>
      <c r="L20" s="42">
        <v>45840</v>
      </c>
      <c r="M20" s="30">
        <v>1612554</v>
      </c>
      <c r="N20" s="30" t="str">
        <f>""</f>
        <v/>
      </c>
      <c r="O20" s="30" t="str">
        <f>""</f>
        <v/>
      </c>
      <c r="P20" s="30" t="str">
        <f>""</f>
        <v/>
      </c>
      <c r="Q20" s="43" t="str">
        <f>""</f>
        <v/>
      </c>
      <c r="R20" s="44">
        <v>2539.52</v>
      </c>
      <c r="S20" s="44">
        <v>0</v>
      </c>
      <c r="T20" s="45">
        <f>SUM(R20:S20)</f>
        <v>2539.52</v>
      </c>
    </row>
    <row r="21" spans="1:20" ht="15" x14ac:dyDescent="0.25">
      <c r="A21" s="24" t="s">
        <v>24</v>
      </c>
      <c r="B21" s="40"/>
      <c r="C21" s="40"/>
      <c r="F21" s="40" t="e">
        <f>F20</f>
        <v>#REF!</v>
      </c>
      <c r="G21" s="40" t="e">
        <f>G20</f>
        <v>#REF!</v>
      </c>
      <c r="H21" s="41"/>
      <c r="K21" s="30" t="str">
        <f>"""GP"",""Ute Indian Tribe Membership Fund"",""aaa_contract_detail_sp"",""JRNENTRY"",""1612567"",""aaGLHdrID"",""1782177"",""aaGLDistID"",""15"",""aaGLAssignID"",""1"",""contract"",""3420 FIA 54 UT 2025 5101"""</f>
        <v>"GP","Ute Indian Tribe Membership Fund","aaa_contract_detail_sp","JRNENTRY","1612567","aaGLHdrID","1782177","aaGLDistID","15","aaGLAssignID","1","contract","3420 FIA 54 UT 2025 5101"</v>
      </c>
      <c r="L21" s="42">
        <v>45840</v>
      </c>
      <c r="M21" s="30">
        <v>1612567</v>
      </c>
      <c r="N21" s="30" t="str">
        <f>""</f>
        <v/>
      </c>
      <c r="O21" s="30" t="str">
        <f>""</f>
        <v/>
      </c>
      <c r="P21" s="30" t="str">
        <f>""</f>
        <v/>
      </c>
      <c r="Q21" s="43" t="str">
        <f>""</f>
        <v/>
      </c>
      <c r="R21" s="44">
        <v>2824.32</v>
      </c>
      <c r="S21" s="44">
        <v>0</v>
      </c>
      <c r="T21" s="45">
        <f>SUM(R21:S21)</f>
        <v>2824.32</v>
      </c>
    </row>
    <row r="22" spans="1:20" ht="15" x14ac:dyDescent="0.25">
      <c r="A22" s="24" t="s">
        <v>24</v>
      </c>
      <c r="B22" s="40"/>
      <c r="C22" s="40"/>
      <c r="F22" s="40" t="e">
        <f>F21</f>
        <v>#REF!</v>
      </c>
      <c r="G22" s="40" t="e">
        <f>G21</f>
        <v>#REF!</v>
      </c>
      <c r="H22" s="41"/>
      <c r="K22" s="30" t="str">
        <f>"""GP"",""Ute Indian Tribe Membership Fund"",""aaa_contract_detail_sp"",""JRNENTRY"",""1612616"",""aaGLHdrID"",""1782226"",""aaGLDistID"",""14"",""aaGLAssignID"",""1"",""contract"",""3420 FIA 54 UT 2025 5101"""</f>
        <v>"GP","Ute Indian Tribe Membership Fund","aaa_contract_detail_sp","JRNENTRY","1612616","aaGLHdrID","1782226","aaGLDistID","14","aaGLAssignID","1","contract","3420 FIA 54 UT 2025 5101"</v>
      </c>
      <c r="L22" s="42">
        <v>45840</v>
      </c>
      <c r="M22" s="30">
        <v>1612616</v>
      </c>
      <c r="N22" s="30" t="str">
        <f>""</f>
        <v/>
      </c>
      <c r="O22" s="30" t="str">
        <f>""</f>
        <v/>
      </c>
      <c r="P22" s="30" t="str">
        <f>""</f>
        <v/>
      </c>
      <c r="Q22" s="43" t="str">
        <f>""</f>
        <v/>
      </c>
      <c r="R22" s="44">
        <v>3217.92</v>
      </c>
      <c r="S22" s="44">
        <v>0</v>
      </c>
      <c r="T22" s="45">
        <f>SUM(R22:S22)</f>
        <v>3217.92</v>
      </c>
    </row>
    <row r="23" spans="1:20" ht="15" x14ac:dyDescent="0.25">
      <c r="A23" s="24" t="s">
        <v>24</v>
      </c>
      <c r="B23" s="40"/>
      <c r="C23" s="40"/>
      <c r="F23" s="40" t="e">
        <f>F22</f>
        <v>#REF!</v>
      </c>
      <c r="G23" s="40" t="e">
        <f>G22</f>
        <v>#REF!</v>
      </c>
      <c r="H23" s="41"/>
      <c r="K23" s="30" t="str">
        <f>"""GP"",""Ute Indian Tribe Membership Fund"",""aaa_contract_detail_sp"",""JRNENTRY"",""1614861"",""aaGLHdrID"",""1782734"",""aaGLDistID"",""17"",""aaGLAssignID"",""1"",""contract"",""3420 FIA 54 UT 2025 5101"""</f>
        <v>"GP","Ute Indian Tribe Membership Fund","aaa_contract_detail_sp","JRNENTRY","1614861","aaGLHdrID","1782734","aaGLDistID","17","aaGLAssignID","1","contract","3420 FIA 54 UT 2025 5101"</v>
      </c>
      <c r="L23" s="42">
        <v>45855</v>
      </c>
      <c r="M23" s="30">
        <v>1614861</v>
      </c>
      <c r="N23" s="30" t="str">
        <f>""</f>
        <v/>
      </c>
      <c r="O23" s="30" t="str">
        <f>""</f>
        <v/>
      </c>
      <c r="P23" s="30" t="str">
        <f>""</f>
        <v/>
      </c>
      <c r="Q23" s="43" t="str">
        <f>""</f>
        <v/>
      </c>
      <c r="R23" s="44">
        <v>2849.92</v>
      </c>
      <c r="S23" s="44">
        <v>0</v>
      </c>
      <c r="T23" s="45">
        <f>SUM(R23:S23)</f>
        <v>2849.92</v>
      </c>
    </row>
    <row r="24" spans="1:20" ht="15" x14ac:dyDescent="0.25">
      <c r="A24" s="24" t="s">
        <v>24</v>
      </c>
      <c r="B24" s="40"/>
      <c r="C24" s="40"/>
      <c r="F24" s="40" t="e">
        <f>F23</f>
        <v>#REF!</v>
      </c>
      <c r="G24" s="40" t="e">
        <f>G23</f>
        <v>#REF!</v>
      </c>
      <c r="H24" s="41"/>
      <c r="K24" s="30" t="str">
        <f>"""GP"",""Ute Indian Tribe Membership Fund"",""aaa_contract_detail_sp"",""JRNENTRY"",""1614861"",""aaGLHdrID"",""1782734"",""aaGLDistID"",""18"",""aaGLAssignID"",""1"",""contract"",""3420 FIA 54 UT 2025 5101"""</f>
        <v>"GP","Ute Indian Tribe Membership Fund","aaa_contract_detail_sp","JRNENTRY","1614861","aaGLHdrID","1782734","aaGLDistID","18","aaGLAssignID","1","contract","3420 FIA 54 UT 2025 5101"</v>
      </c>
      <c r="L24" s="42">
        <v>45855</v>
      </c>
      <c r="M24" s="30">
        <v>1614861</v>
      </c>
      <c r="N24" s="30" t="str">
        <f>""</f>
        <v/>
      </c>
      <c r="O24" s="30" t="str">
        <f>""</f>
        <v/>
      </c>
      <c r="P24" s="30" t="str">
        <f>""</f>
        <v/>
      </c>
      <c r="Q24" s="43" t="str">
        <f>""</f>
        <v/>
      </c>
      <c r="R24" s="44">
        <v>200</v>
      </c>
      <c r="S24" s="44">
        <v>0</v>
      </c>
      <c r="T24" s="45">
        <f>SUM(R24:S24)</f>
        <v>200</v>
      </c>
    </row>
    <row r="25" spans="1:20" ht="15" x14ac:dyDescent="0.25">
      <c r="A25" s="24" t="s">
        <v>24</v>
      </c>
      <c r="B25" s="40"/>
      <c r="C25" s="40"/>
      <c r="F25" s="40" t="e">
        <f>F24</f>
        <v>#REF!</v>
      </c>
      <c r="G25" s="40" t="e">
        <f>G24</f>
        <v>#REF!</v>
      </c>
      <c r="H25" s="41"/>
      <c r="K25" s="30" t="str">
        <f>"""GP"",""Ute Indian Tribe Membership Fund"",""aaa_contract_detail_sp"",""JRNENTRY"",""1614965"",""aaGLHdrID"",""1782838"",""aaGLDistID"",""15"",""aaGLAssignID"",""1"",""contract"",""3420 FIA 54 UT 2025 5101"""</f>
        <v>"GP","Ute Indian Tribe Membership Fund","aaa_contract_detail_sp","JRNENTRY","1614965","aaGLHdrID","1782838","aaGLDistID","15","aaGLAssignID","1","contract","3420 FIA 54 UT 2025 5101"</v>
      </c>
      <c r="L25" s="42">
        <v>45855</v>
      </c>
      <c r="M25" s="30">
        <v>1614965</v>
      </c>
      <c r="N25" s="30" t="str">
        <f>""</f>
        <v/>
      </c>
      <c r="O25" s="30" t="str">
        <f>""</f>
        <v/>
      </c>
      <c r="P25" s="30" t="str">
        <f>""</f>
        <v/>
      </c>
      <c r="Q25" s="43" t="str">
        <f>""</f>
        <v/>
      </c>
      <c r="R25" s="44">
        <v>2562.56</v>
      </c>
      <c r="S25" s="44">
        <v>0</v>
      </c>
      <c r="T25" s="45">
        <f>SUM(R25:S25)</f>
        <v>2562.56</v>
      </c>
    </row>
    <row r="26" spans="1:20" ht="15" x14ac:dyDescent="0.25">
      <c r="A26" s="24" t="s">
        <v>24</v>
      </c>
      <c r="B26" s="40"/>
      <c r="C26" s="40"/>
      <c r="F26" s="40" t="e">
        <f>F25</f>
        <v>#REF!</v>
      </c>
      <c r="G26" s="40" t="e">
        <f>G25</f>
        <v>#REF!</v>
      </c>
      <c r="H26" s="41"/>
      <c r="K26" s="30" t="str">
        <f>"""GP"",""Ute Indian Tribe Membership Fund"",""aaa_contract_detail_sp"",""JRNENTRY"",""1614965"",""aaGLHdrID"",""1782838"",""aaGLDistID"",""16"",""aaGLAssignID"",""1"",""contract"",""3420 FIA 54 UT 2025 5101"""</f>
        <v>"GP","Ute Indian Tribe Membership Fund","aaa_contract_detail_sp","JRNENTRY","1614965","aaGLHdrID","1782838","aaGLDistID","16","aaGLAssignID","1","contract","3420 FIA 54 UT 2025 5101"</v>
      </c>
      <c r="L26" s="42">
        <v>45855</v>
      </c>
      <c r="M26" s="30">
        <v>1614965</v>
      </c>
      <c r="N26" s="30" t="str">
        <f>""</f>
        <v/>
      </c>
      <c r="O26" s="30" t="str">
        <f>""</f>
        <v/>
      </c>
      <c r="P26" s="30" t="str">
        <f>""</f>
        <v/>
      </c>
      <c r="Q26" s="43" t="str">
        <f>""</f>
        <v/>
      </c>
      <c r="R26" s="44">
        <v>1840</v>
      </c>
      <c r="S26" s="44">
        <v>0</v>
      </c>
      <c r="T26" s="45">
        <f>SUM(R26:S26)</f>
        <v>1840</v>
      </c>
    </row>
    <row r="27" spans="1:20" ht="15" x14ac:dyDescent="0.25">
      <c r="A27" s="24" t="s">
        <v>24</v>
      </c>
      <c r="B27" s="40"/>
      <c r="C27" s="40"/>
      <c r="F27" s="40" t="e">
        <f>F26</f>
        <v>#REF!</v>
      </c>
      <c r="G27" s="40" t="e">
        <f>G26</f>
        <v>#REF!</v>
      </c>
      <c r="H27" s="41"/>
      <c r="K27" s="30" t="str">
        <f>"""GP"",""Ute Indian Tribe Membership Fund"",""aaa_contract_detail_sp"",""JRNENTRY"",""1614978"",""aaGLHdrID"",""1782851"",""aaGLDistID"",""15"",""aaGLAssignID"",""1"",""contract"",""3420 FIA 54 UT 2025 5101"""</f>
        <v>"GP","Ute Indian Tribe Membership Fund","aaa_contract_detail_sp","JRNENTRY","1614978","aaGLHdrID","1782851","aaGLDistID","15","aaGLAssignID","1","contract","3420 FIA 54 UT 2025 5101"</v>
      </c>
      <c r="L27" s="42">
        <v>45855</v>
      </c>
      <c r="M27" s="30">
        <v>1614978</v>
      </c>
      <c r="N27" s="30" t="str">
        <f>""</f>
        <v/>
      </c>
      <c r="O27" s="30" t="str">
        <f>""</f>
        <v/>
      </c>
      <c r="P27" s="30" t="str">
        <f>""</f>
        <v/>
      </c>
      <c r="Q27" s="43" t="str">
        <f>""</f>
        <v/>
      </c>
      <c r="R27" s="44">
        <v>2849.92</v>
      </c>
      <c r="S27" s="44">
        <v>0</v>
      </c>
      <c r="T27" s="45">
        <f>SUM(R27:S27)</f>
        <v>2849.92</v>
      </c>
    </row>
    <row r="28" spans="1:20" ht="15" x14ac:dyDescent="0.25">
      <c r="A28" s="24" t="s">
        <v>24</v>
      </c>
      <c r="B28" s="40"/>
      <c r="C28" s="40"/>
      <c r="F28" s="40" t="e">
        <f>F27</f>
        <v>#REF!</v>
      </c>
      <c r="G28" s="40" t="e">
        <f>G27</f>
        <v>#REF!</v>
      </c>
      <c r="H28" s="41"/>
      <c r="K28" s="30" t="str">
        <f>"""GP"",""Ute Indian Tribe Membership Fund"",""aaa_contract_detail_sp"",""JRNENTRY"",""1615019"",""aaGLHdrID"",""1782892"",""aaGLDistID"",""14"",""aaGLAssignID"",""1"",""contract"",""3420 FIA 54 UT 2025 5101"""</f>
        <v>"GP","Ute Indian Tribe Membership Fund","aaa_contract_detail_sp","JRNENTRY","1615019","aaGLHdrID","1782892","aaGLDistID","14","aaGLAssignID","1","contract","3420 FIA 54 UT 2025 5101"</v>
      </c>
      <c r="L28" s="42">
        <v>45855</v>
      </c>
      <c r="M28" s="30">
        <v>1615019</v>
      </c>
      <c r="N28" s="30" t="str">
        <f>""</f>
        <v/>
      </c>
      <c r="O28" s="30" t="str">
        <f>""</f>
        <v/>
      </c>
      <c r="P28" s="30" t="str">
        <f>""</f>
        <v/>
      </c>
      <c r="Q28" s="43" t="str">
        <f>""</f>
        <v/>
      </c>
      <c r="R28" s="44">
        <v>3242.24</v>
      </c>
      <c r="S28" s="44">
        <v>0</v>
      </c>
      <c r="T28" s="45">
        <f>SUM(R28:S28)</f>
        <v>3242.24</v>
      </c>
    </row>
    <row r="29" spans="1:20" ht="15" x14ac:dyDescent="0.25">
      <c r="A29" s="24" t="s">
        <v>24</v>
      </c>
      <c r="B29" s="40"/>
      <c r="C29" s="40"/>
      <c r="F29" s="40" t="e">
        <f>F28</f>
        <v>#REF!</v>
      </c>
      <c r="G29" s="40" t="e">
        <f>G28</f>
        <v>#REF!</v>
      </c>
      <c r="H29" s="41"/>
      <c r="K29" s="30" t="str">
        <f>"""GP"",""Ute Indian Tribe Membership Fund"",""aaa_contract_detail_sp"",""JRNENTRY"",""1616765"",""aaGLHdrID"",""1784613"",""aaGLDistID"",""17"",""aaGLAssignID"",""1"",""contract"",""3420 FIA 54 UT 2025 5101"""</f>
        <v>"GP","Ute Indian Tribe Membership Fund","aaa_contract_detail_sp","JRNENTRY","1616765","aaGLHdrID","1784613","aaGLDistID","17","aaGLAssignID","1","contract","3420 FIA 54 UT 2025 5101"</v>
      </c>
      <c r="L29" s="42">
        <v>45869</v>
      </c>
      <c r="M29" s="30">
        <v>1616765</v>
      </c>
      <c r="N29" s="30" t="str">
        <f>""</f>
        <v/>
      </c>
      <c r="O29" s="30" t="str">
        <f>""</f>
        <v/>
      </c>
      <c r="P29" s="30" t="str">
        <f>""</f>
        <v/>
      </c>
      <c r="Q29" s="43" t="str">
        <f>""</f>
        <v/>
      </c>
      <c r="R29" s="44">
        <v>2849.92</v>
      </c>
      <c r="S29" s="44">
        <v>0</v>
      </c>
      <c r="T29" s="45">
        <f>SUM(R29:S29)</f>
        <v>2849.92</v>
      </c>
    </row>
    <row r="30" spans="1:20" ht="15" x14ac:dyDescent="0.25">
      <c r="A30" s="24" t="s">
        <v>24</v>
      </c>
      <c r="B30" s="40"/>
      <c r="C30" s="40"/>
      <c r="F30" s="40" t="e">
        <f>F29</f>
        <v>#REF!</v>
      </c>
      <c r="G30" s="40" t="e">
        <f>G29</f>
        <v>#REF!</v>
      </c>
      <c r="H30" s="41"/>
      <c r="K30" s="30" t="str">
        <f>"""GP"",""Ute Indian Tribe Membership Fund"",""aaa_contract_detail_sp"",""JRNENTRY"",""1616870"",""aaGLHdrID"",""1784718"",""aaGLDistID"",""15"",""aaGLAssignID"",""1"",""contract"",""3420 FIA 54 UT 2025 5101"""</f>
        <v>"GP","Ute Indian Tribe Membership Fund","aaa_contract_detail_sp","JRNENTRY","1616870","aaGLHdrID","1784718","aaGLDistID","15","aaGLAssignID","1","contract","3420 FIA 54 UT 2025 5101"</v>
      </c>
      <c r="L30" s="42">
        <v>45869</v>
      </c>
      <c r="M30" s="30">
        <v>1616870</v>
      </c>
      <c r="N30" s="30" t="str">
        <f>""</f>
        <v/>
      </c>
      <c r="O30" s="30" t="str">
        <f>""</f>
        <v/>
      </c>
      <c r="P30" s="30" t="str">
        <f>""</f>
        <v/>
      </c>
      <c r="Q30" s="43" t="str">
        <f>""</f>
        <v/>
      </c>
      <c r="R30" s="44">
        <v>2562.56</v>
      </c>
      <c r="S30" s="44">
        <v>0</v>
      </c>
      <c r="T30" s="45">
        <f>SUM(R30:S30)</f>
        <v>2562.56</v>
      </c>
    </row>
    <row r="31" spans="1:20" ht="15" x14ac:dyDescent="0.25">
      <c r="A31" s="24" t="s">
        <v>24</v>
      </c>
      <c r="B31" s="40"/>
      <c r="C31" s="40"/>
      <c r="F31" s="40" t="e">
        <f>F30</f>
        <v>#REF!</v>
      </c>
      <c r="G31" s="40" t="e">
        <f>G30</f>
        <v>#REF!</v>
      </c>
      <c r="H31" s="41"/>
      <c r="K31" s="30" t="str">
        <f>"""GP"",""Ute Indian Tribe Membership Fund"",""aaa_contract_detail_sp"",""JRNENTRY"",""1616882"",""aaGLHdrID"",""1784730"",""aaGLDistID"",""15"",""aaGLAssignID"",""1"",""contract"",""3420 FIA 54 UT 2025 5101"""</f>
        <v>"GP","Ute Indian Tribe Membership Fund","aaa_contract_detail_sp","JRNENTRY","1616882","aaGLHdrID","1784730","aaGLDistID","15","aaGLAssignID","1","contract","3420 FIA 54 UT 2025 5101"</v>
      </c>
      <c r="L31" s="42">
        <v>45869</v>
      </c>
      <c r="M31" s="30">
        <v>1616882</v>
      </c>
      <c r="N31" s="30" t="str">
        <f>""</f>
        <v/>
      </c>
      <c r="O31" s="30" t="str">
        <f>""</f>
        <v/>
      </c>
      <c r="P31" s="30" t="str">
        <f>""</f>
        <v/>
      </c>
      <c r="Q31" s="43" t="str">
        <f>""</f>
        <v/>
      </c>
      <c r="R31" s="44">
        <v>2849.92</v>
      </c>
      <c r="S31" s="44">
        <v>0</v>
      </c>
      <c r="T31" s="45">
        <f>SUM(R31:S31)</f>
        <v>2849.92</v>
      </c>
    </row>
    <row r="32" spans="1:20" ht="15" x14ac:dyDescent="0.25">
      <c r="A32" s="24" t="s">
        <v>24</v>
      </c>
      <c r="B32" s="40"/>
      <c r="C32" s="40"/>
      <c r="F32" s="40" t="e">
        <f>F31</f>
        <v>#REF!</v>
      </c>
      <c r="G32" s="40" t="e">
        <f>G31</f>
        <v>#REF!</v>
      </c>
      <c r="H32" s="41"/>
      <c r="K32" s="30" t="str">
        <f>"""GP"",""Ute Indian Tribe Membership Fund"",""aaa_contract_detail_sp"",""JRNENTRY"",""1616929"",""aaGLHdrID"",""1784777"",""aaGLDistID"",""14"",""aaGLAssignID"",""1"",""contract"",""3420 FIA 54 UT 2025 5101"""</f>
        <v>"GP","Ute Indian Tribe Membership Fund","aaa_contract_detail_sp","JRNENTRY","1616929","aaGLHdrID","1784777","aaGLDistID","14","aaGLAssignID","1","contract","3420 FIA 54 UT 2025 5101"</v>
      </c>
      <c r="L32" s="42">
        <v>45869</v>
      </c>
      <c r="M32" s="30">
        <v>1616929</v>
      </c>
      <c r="N32" s="30" t="str">
        <f>""</f>
        <v/>
      </c>
      <c r="O32" s="30" t="str">
        <f>""</f>
        <v/>
      </c>
      <c r="P32" s="30" t="str">
        <f>""</f>
        <v/>
      </c>
      <c r="Q32" s="43" t="str">
        <f>""</f>
        <v/>
      </c>
      <c r="R32" s="44">
        <v>3242.24</v>
      </c>
      <c r="S32" s="44">
        <v>0</v>
      </c>
      <c r="T32" s="45">
        <f>SUM(R32:S32)</f>
        <v>3242.24</v>
      </c>
    </row>
    <row r="33" spans="1:20" ht="15" x14ac:dyDescent="0.25">
      <c r="A33" s="24" t="s">
        <v>24</v>
      </c>
      <c r="B33" s="40"/>
      <c r="C33" s="40"/>
      <c r="F33" s="40" t="e">
        <f>F32</f>
        <v>#REF!</v>
      </c>
      <c r="G33" s="40" t="e">
        <f>G32</f>
        <v>#REF!</v>
      </c>
      <c r="H33" s="41"/>
      <c r="K33" s="30" t="str">
        <f>"""GP"",""Ute Indian Tribe Membership Fund"",""aaa_contract_detail_sp"",""JRNENTRY"",""1619683"",""aaGLHdrID"",""1787827"",""aaGLDistID"",""17"",""aaGLAssignID"",""1"",""contract"",""3420 FIA 54 UT 2025 5101"""</f>
        <v>"GP","Ute Indian Tribe Membership Fund","aaa_contract_detail_sp","JRNENTRY","1619683","aaGLHdrID","1787827","aaGLDistID","17","aaGLAssignID","1","contract","3420 FIA 54 UT 2025 5101"</v>
      </c>
      <c r="L33" s="42">
        <v>45883</v>
      </c>
      <c r="M33" s="30">
        <v>1619683</v>
      </c>
      <c r="N33" s="30" t="str">
        <f>""</f>
        <v/>
      </c>
      <c r="O33" s="30" t="str">
        <f>""</f>
        <v/>
      </c>
      <c r="P33" s="30" t="str">
        <f>""</f>
        <v/>
      </c>
      <c r="Q33" s="43" t="str">
        <f>""</f>
        <v/>
      </c>
      <c r="R33" s="44">
        <v>2849.92</v>
      </c>
      <c r="S33" s="44">
        <v>0</v>
      </c>
      <c r="T33" s="45">
        <f>SUM(R33:S33)</f>
        <v>2849.92</v>
      </c>
    </row>
    <row r="34" spans="1:20" ht="15" x14ac:dyDescent="0.25">
      <c r="A34" s="24" t="s">
        <v>24</v>
      </c>
      <c r="B34" s="40"/>
      <c r="C34" s="40"/>
      <c r="F34" s="40" t="e">
        <f>F33</f>
        <v>#REF!</v>
      </c>
      <c r="G34" s="40" t="e">
        <f>G33</f>
        <v>#REF!</v>
      </c>
      <c r="H34" s="41"/>
      <c r="K34" s="30" t="str">
        <f>"""GP"",""Ute Indian Tribe Membership Fund"",""aaa_contract_detail_sp"",""JRNENTRY"",""1619683"",""aaGLHdrID"",""1787827"",""aaGLDistID"",""18"",""aaGLAssignID"",""1"",""contract"",""3420 FIA 54 UT 2025 5101"""</f>
        <v>"GP","Ute Indian Tribe Membership Fund","aaa_contract_detail_sp","JRNENTRY","1619683","aaGLHdrID","1787827","aaGLDistID","18","aaGLAssignID","1","contract","3420 FIA 54 UT 2025 5101"</v>
      </c>
      <c r="L34" s="42">
        <v>45883</v>
      </c>
      <c r="M34" s="30">
        <v>1619683</v>
      </c>
      <c r="N34" s="30" t="str">
        <f>""</f>
        <v/>
      </c>
      <c r="O34" s="30" t="str">
        <f>""</f>
        <v/>
      </c>
      <c r="P34" s="30" t="str">
        <f>""</f>
        <v/>
      </c>
      <c r="Q34" s="43" t="str">
        <f>""</f>
        <v/>
      </c>
      <c r="R34" s="44">
        <v>5961.03</v>
      </c>
      <c r="S34" s="44">
        <v>0</v>
      </c>
      <c r="T34" s="45">
        <f>SUM(R34:S34)</f>
        <v>5961.03</v>
      </c>
    </row>
    <row r="35" spans="1:20" ht="15" x14ac:dyDescent="0.25">
      <c r="A35" s="24" t="s">
        <v>24</v>
      </c>
      <c r="B35" s="40"/>
      <c r="C35" s="40"/>
      <c r="F35" s="40" t="e">
        <f>F34</f>
        <v>#REF!</v>
      </c>
      <c r="G35" s="40" t="e">
        <f>G34</f>
        <v>#REF!</v>
      </c>
      <c r="H35" s="41"/>
      <c r="K35" s="30" t="str">
        <f>"""GP"",""Ute Indian Tribe Membership Fund"",""aaa_contract_detail_sp"",""JRNENTRY"",""1619790"",""aaGLHdrID"",""1787934"",""aaGLDistID"",""15"",""aaGLAssignID"",""1"",""contract"",""3420 FIA 54 UT 2025 5101"""</f>
        <v>"GP","Ute Indian Tribe Membership Fund","aaa_contract_detail_sp","JRNENTRY","1619790","aaGLHdrID","1787934","aaGLDistID","15","aaGLAssignID","1","contract","3420 FIA 54 UT 2025 5101"</v>
      </c>
      <c r="L35" s="42">
        <v>45883</v>
      </c>
      <c r="M35" s="30">
        <v>1619790</v>
      </c>
      <c r="N35" s="30" t="str">
        <f>""</f>
        <v/>
      </c>
      <c r="O35" s="30" t="str">
        <f>""</f>
        <v/>
      </c>
      <c r="P35" s="30" t="str">
        <f>""</f>
        <v/>
      </c>
      <c r="Q35" s="43" t="str">
        <f>""</f>
        <v/>
      </c>
      <c r="R35" s="44">
        <v>2562.56</v>
      </c>
      <c r="S35" s="44">
        <v>0</v>
      </c>
      <c r="T35" s="45">
        <f>SUM(R35:S35)</f>
        <v>2562.56</v>
      </c>
    </row>
    <row r="36" spans="1:20" ht="15" x14ac:dyDescent="0.25">
      <c r="A36" s="24" t="s">
        <v>24</v>
      </c>
      <c r="B36" s="40"/>
      <c r="C36" s="40"/>
      <c r="F36" s="40" t="e">
        <f>F35</f>
        <v>#REF!</v>
      </c>
      <c r="G36" s="40" t="e">
        <f>G35</f>
        <v>#REF!</v>
      </c>
      <c r="H36" s="41"/>
      <c r="K36" s="30" t="str">
        <f>"""GP"",""Ute Indian Tribe Membership Fund"",""aaa_contract_detail_sp"",""JRNENTRY"",""1619800"",""aaGLHdrID"",""1787944"",""aaGLDistID"",""15"",""aaGLAssignID"",""1"",""contract"",""3420 FIA 54 UT 2025 5101"""</f>
        <v>"GP","Ute Indian Tribe Membership Fund","aaa_contract_detail_sp","JRNENTRY","1619800","aaGLHdrID","1787944","aaGLDistID","15","aaGLAssignID","1","contract","3420 FIA 54 UT 2025 5101"</v>
      </c>
      <c r="L36" s="42">
        <v>45883</v>
      </c>
      <c r="M36" s="30">
        <v>1619800</v>
      </c>
      <c r="N36" s="30" t="str">
        <f>""</f>
        <v/>
      </c>
      <c r="O36" s="30" t="str">
        <f>""</f>
        <v/>
      </c>
      <c r="P36" s="30" t="str">
        <f>""</f>
        <v/>
      </c>
      <c r="Q36" s="43" t="str">
        <f>""</f>
        <v/>
      </c>
      <c r="R36" s="44">
        <v>2849.92</v>
      </c>
      <c r="S36" s="44">
        <v>0</v>
      </c>
      <c r="T36" s="45">
        <f>SUM(R36:S36)</f>
        <v>2849.92</v>
      </c>
    </row>
    <row r="37" spans="1:20" ht="15" x14ac:dyDescent="0.25">
      <c r="A37" s="24" t="s">
        <v>24</v>
      </c>
      <c r="B37" s="40"/>
      <c r="C37" s="40"/>
      <c r="F37" s="40" t="e">
        <f>F36</f>
        <v>#REF!</v>
      </c>
      <c r="G37" s="40" t="e">
        <f>G36</f>
        <v>#REF!</v>
      </c>
      <c r="H37" s="41"/>
      <c r="K37" s="30" t="str">
        <f>"""GP"",""Ute Indian Tribe Membership Fund"",""aaa_contract_detail_sp"",""JRNENTRY"",""1619839"",""aaGLHdrID"",""1787983"",""aaGLDistID"",""14"",""aaGLAssignID"",""1"",""contract"",""3420 FIA 54 UT 2025 5101"""</f>
        <v>"GP","Ute Indian Tribe Membership Fund","aaa_contract_detail_sp","JRNENTRY","1619839","aaGLHdrID","1787983","aaGLDistID","14","aaGLAssignID","1","contract","3420 FIA 54 UT 2025 5101"</v>
      </c>
      <c r="L37" s="42">
        <v>45883</v>
      </c>
      <c r="M37" s="30">
        <v>1619839</v>
      </c>
      <c r="N37" s="30" t="str">
        <f>""</f>
        <v/>
      </c>
      <c r="O37" s="30" t="str">
        <f>""</f>
        <v/>
      </c>
      <c r="P37" s="30" t="str">
        <f>""</f>
        <v/>
      </c>
      <c r="Q37" s="43" t="str">
        <f>""</f>
        <v/>
      </c>
      <c r="R37" s="44">
        <v>3242.24</v>
      </c>
      <c r="S37" s="44">
        <v>0</v>
      </c>
      <c r="T37" s="45">
        <f>SUM(R37:S37)</f>
        <v>3242.24</v>
      </c>
    </row>
    <row r="38" spans="1:20" x14ac:dyDescent="0.2">
      <c r="A38" s="24" t="s">
        <v>24</v>
      </c>
      <c r="B38" s="40"/>
      <c r="C38" s="40"/>
      <c r="F38" s="40" t="e">
        <f>#REF!</f>
        <v>#REF!</v>
      </c>
      <c r="G38" s="40" t="e">
        <f>#REF!</f>
        <v>#REF!</v>
      </c>
      <c r="H38" s="41"/>
    </row>
    <row r="39" spans="1:20" x14ac:dyDescent="0.2">
      <c r="A39" s="24" t="s">
        <v>24</v>
      </c>
      <c r="I39" s="53" t="str">
        <f>I18&amp;"   "&amp;J18&amp;"         Total:"</f>
        <v>5021-0-6100-3420   Salaries &amp; Wages         Total:</v>
      </c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46">
        <f>SUBTOTAL(9,T19:T38)</f>
        <v>53921.029999999992</v>
      </c>
    </row>
    <row r="40" spans="1:20" x14ac:dyDescent="0.2">
      <c r="A40" s="24" t="s">
        <v>24</v>
      </c>
    </row>
    <row r="41" spans="1:20" x14ac:dyDescent="0.2">
      <c r="A41" s="24" t="s">
        <v>24</v>
      </c>
    </row>
    <row r="42" spans="1:20" x14ac:dyDescent="0.2">
      <c r="A42" s="24" t="s">
        <v>24</v>
      </c>
      <c r="F42" s="24" t="str">
        <f>"5021-0-6110-3420"</f>
        <v>5021-0-6110-3420</v>
      </c>
      <c r="G42" s="24" t="str">
        <f>"5021-0-6110-3420"</f>
        <v>5021-0-6110-3420</v>
      </c>
      <c r="I42" s="38" t="str">
        <f>G42</f>
        <v>5021-0-6110-3420</v>
      </c>
      <c r="J42" s="38" t="str">
        <f>"Taxes"</f>
        <v>Taxes</v>
      </c>
      <c r="Q42" s="38"/>
      <c r="R42" s="39"/>
    </row>
    <row r="43" spans="1:20" ht="15" x14ac:dyDescent="0.25">
      <c r="A43" s="24" t="s">
        <v>24</v>
      </c>
      <c r="B43" s="40"/>
      <c r="C43" s="40"/>
      <c r="F43" s="40" t="e">
        <f>#REF!</f>
        <v>#REF!</v>
      </c>
      <c r="G43" s="40" t="e">
        <f>#REF!</f>
        <v>#REF!</v>
      </c>
      <c r="H43" s="41"/>
      <c r="K43" s="30" t="str">
        <f>"""GP"",""Ute Indian Tribe Membership Fund"",""aaa_contract_detail_sp"",""JRNENTRY"",""1612448"",""aaGLHdrID"",""1782059"",""aaGLDistID"",""18"",""aaGLAssignID"",""1"",""contract"",""3420 FIA 54 UT 2025 5101"""</f>
        <v>"GP","Ute Indian Tribe Membership Fund","aaa_contract_detail_sp","JRNENTRY","1612448","aaGLHdrID","1782059","aaGLDistID","18","aaGLAssignID","1","contract","3420 FIA 54 UT 2025 5101"</v>
      </c>
      <c r="L43" s="42">
        <v>45840</v>
      </c>
      <c r="M43" s="30">
        <v>1612448</v>
      </c>
      <c r="N43" s="30" t="str">
        <f>""</f>
        <v/>
      </c>
      <c r="O43" s="30" t="str">
        <f>""</f>
        <v/>
      </c>
      <c r="P43" s="30" t="str">
        <f>""</f>
        <v/>
      </c>
      <c r="Q43" s="43" t="str">
        <f>""</f>
        <v/>
      </c>
      <c r="R43" s="44">
        <v>172.93</v>
      </c>
      <c r="S43" s="44">
        <v>0</v>
      </c>
      <c r="T43" s="45">
        <f>SUM(R43:S43)</f>
        <v>172.93</v>
      </c>
    </row>
    <row r="44" spans="1:20" ht="15" x14ac:dyDescent="0.25">
      <c r="A44" s="24" t="s">
        <v>24</v>
      </c>
      <c r="B44" s="40"/>
      <c r="C44" s="40"/>
      <c r="F44" s="40" t="e">
        <f>F43</f>
        <v>#REF!</v>
      </c>
      <c r="G44" s="40" t="e">
        <f>G43</f>
        <v>#REF!</v>
      </c>
      <c r="H44" s="41"/>
      <c r="K44" s="30" t="str">
        <f>"""GP"",""Ute Indian Tribe Membership Fund"",""aaa_contract_detail_sp"",""JRNENTRY"",""1612448"",""aaGLHdrID"",""1782059"",""aaGLDistID"",""19"",""aaGLAssignID"",""1"",""contract"",""3420 FIA 54 UT 2025 5101"""</f>
        <v>"GP","Ute Indian Tribe Membership Fund","aaa_contract_detail_sp","JRNENTRY","1612448","aaGLHdrID","1782059","aaGLDistID","19","aaGLAssignID","1","contract","3420 FIA 54 UT 2025 5101"</v>
      </c>
      <c r="L44" s="42">
        <v>45840</v>
      </c>
      <c r="M44" s="30">
        <v>1612448</v>
      </c>
      <c r="N44" s="30" t="str">
        <f>""</f>
        <v/>
      </c>
      <c r="O44" s="30" t="str">
        <f>""</f>
        <v/>
      </c>
      <c r="P44" s="30" t="str">
        <f>""</f>
        <v/>
      </c>
      <c r="Q44" s="43" t="str">
        <f>""</f>
        <v/>
      </c>
      <c r="R44" s="44">
        <v>40.44</v>
      </c>
      <c r="S44" s="44">
        <v>0</v>
      </c>
      <c r="T44" s="45">
        <f>SUM(R44:S44)</f>
        <v>40.44</v>
      </c>
    </row>
    <row r="45" spans="1:20" ht="15" x14ac:dyDescent="0.25">
      <c r="A45" s="24" t="s">
        <v>24</v>
      </c>
      <c r="B45" s="40"/>
      <c r="C45" s="40"/>
      <c r="F45" s="40" t="e">
        <f>F44</f>
        <v>#REF!</v>
      </c>
      <c r="G45" s="40" t="e">
        <f>G44</f>
        <v>#REF!</v>
      </c>
      <c r="H45" s="41"/>
      <c r="K45" s="30" t="str">
        <f>"""GP"",""Ute Indian Tribe Membership Fund"",""aaa_contract_detail_sp"",""JRNENTRY"",""1612554"",""aaGLHdrID"",""1782164"",""aaGLDistID"",""16"",""aaGLAssignID"",""1"",""contract"",""3420 FIA 54 UT 2025 5101"""</f>
        <v>"GP","Ute Indian Tribe Membership Fund","aaa_contract_detail_sp","JRNENTRY","1612554","aaGLHdrID","1782164","aaGLDistID","16","aaGLAssignID","1","contract","3420 FIA 54 UT 2025 5101"</v>
      </c>
      <c r="L45" s="42">
        <v>45840</v>
      </c>
      <c r="M45" s="30">
        <v>1612554</v>
      </c>
      <c r="N45" s="30" t="str">
        <f>""</f>
        <v/>
      </c>
      <c r="O45" s="30" t="str">
        <f>""</f>
        <v/>
      </c>
      <c r="P45" s="30" t="str">
        <f>""</f>
        <v/>
      </c>
      <c r="Q45" s="43" t="str">
        <f>""</f>
        <v/>
      </c>
      <c r="R45" s="44">
        <v>150.13999999999999</v>
      </c>
      <c r="S45" s="44">
        <v>0</v>
      </c>
      <c r="T45" s="45">
        <f>SUM(R45:S45)</f>
        <v>150.13999999999999</v>
      </c>
    </row>
    <row r="46" spans="1:20" ht="15" x14ac:dyDescent="0.25">
      <c r="A46" s="24" t="s">
        <v>24</v>
      </c>
      <c r="B46" s="40"/>
      <c r="C46" s="40"/>
      <c r="F46" s="40" t="e">
        <f>F45</f>
        <v>#REF!</v>
      </c>
      <c r="G46" s="40" t="e">
        <f>G45</f>
        <v>#REF!</v>
      </c>
      <c r="H46" s="41"/>
      <c r="K46" s="30" t="str">
        <f>"""GP"",""Ute Indian Tribe Membership Fund"",""aaa_contract_detail_sp"",""JRNENTRY"",""1612554"",""aaGLHdrID"",""1782164"",""aaGLDistID"",""17"",""aaGLAssignID"",""1"",""contract"",""3420 FIA 54 UT 2025 5101"""</f>
        <v>"GP","Ute Indian Tribe Membership Fund","aaa_contract_detail_sp","JRNENTRY","1612554","aaGLHdrID","1782164","aaGLDistID","17","aaGLAssignID","1","contract","3420 FIA 54 UT 2025 5101"</v>
      </c>
      <c r="L46" s="42">
        <v>45840</v>
      </c>
      <c r="M46" s="30">
        <v>1612554</v>
      </c>
      <c r="N46" s="30" t="str">
        <f>""</f>
        <v/>
      </c>
      <c r="O46" s="30" t="str">
        <f>""</f>
        <v/>
      </c>
      <c r="P46" s="30" t="str">
        <f>""</f>
        <v/>
      </c>
      <c r="Q46" s="43" t="str">
        <f>""</f>
        <v/>
      </c>
      <c r="R46" s="44">
        <v>35.11</v>
      </c>
      <c r="S46" s="44">
        <v>0</v>
      </c>
      <c r="T46" s="45">
        <f>SUM(R46:S46)</f>
        <v>35.11</v>
      </c>
    </row>
    <row r="47" spans="1:20" ht="15" x14ac:dyDescent="0.25">
      <c r="A47" s="24" t="s">
        <v>24</v>
      </c>
      <c r="B47" s="40"/>
      <c r="C47" s="40"/>
      <c r="F47" s="40" t="e">
        <f>F46</f>
        <v>#REF!</v>
      </c>
      <c r="G47" s="40" t="e">
        <f>G46</f>
        <v>#REF!</v>
      </c>
      <c r="H47" s="41"/>
      <c r="K47" s="30" t="str">
        <f>"""GP"",""Ute Indian Tribe Membership Fund"",""aaa_contract_detail_sp"",""JRNENTRY"",""1612567"",""aaGLHdrID"",""1782177"",""aaGLDistID"",""16"",""aaGLAssignID"",""1"",""contract"",""3420 FIA 54 UT 2025 5101"""</f>
        <v>"GP","Ute Indian Tribe Membership Fund","aaa_contract_detail_sp","JRNENTRY","1612567","aaGLHdrID","1782177","aaGLDistID","16","aaGLAssignID","1","contract","3420 FIA 54 UT 2025 5101"</v>
      </c>
      <c r="L47" s="42">
        <v>45840</v>
      </c>
      <c r="M47" s="30">
        <v>1612567</v>
      </c>
      <c r="N47" s="30" t="str">
        <f>""</f>
        <v/>
      </c>
      <c r="O47" s="30" t="str">
        <f>""</f>
        <v/>
      </c>
      <c r="P47" s="30" t="str">
        <f>""</f>
        <v/>
      </c>
      <c r="Q47" s="43" t="str">
        <f>""</f>
        <v/>
      </c>
      <c r="R47" s="44">
        <v>167.81</v>
      </c>
      <c r="S47" s="44">
        <v>0</v>
      </c>
      <c r="T47" s="45">
        <f>SUM(R47:S47)</f>
        <v>167.81</v>
      </c>
    </row>
    <row r="48" spans="1:20" ht="15" x14ac:dyDescent="0.25">
      <c r="A48" s="24" t="s">
        <v>24</v>
      </c>
      <c r="B48" s="40"/>
      <c r="C48" s="40"/>
      <c r="F48" s="40" t="e">
        <f>F47</f>
        <v>#REF!</v>
      </c>
      <c r="G48" s="40" t="e">
        <f>G47</f>
        <v>#REF!</v>
      </c>
      <c r="H48" s="41"/>
      <c r="K48" s="30" t="str">
        <f>"""GP"",""Ute Indian Tribe Membership Fund"",""aaa_contract_detail_sp"",""JRNENTRY"",""1612567"",""aaGLHdrID"",""1782177"",""aaGLDistID"",""17"",""aaGLAssignID"",""1"",""contract"",""3420 FIA 54 UT 2025 5101"""</f>
        <v>"GP","Ute Indian Tribe Membership Fund","aaa_contract_detail_sp","JRNENTRY","1612567","aaGLHdrID","1782177","aaGLDistID","17","aaGLAssignID","1","contract","3420 FIA 54 UT 2025 5101"</v>
      </c>
      <c r="L48" s="42">
        <v>45840</v>
      </c>
      <c r="M48" s="30">
        <v>1612567</v>
      </c>
      <c r="N48" s="30" t="str">
        <f>""</f>
        <v/>
      </c>
      <c r="O48" s="30" t="str">
        <f>""</f>
        <v/>
      </c>
      <c r="P48" s="30" t="str">
        <f>""</f>
        <v/>
      </c>
      <c r="Q48" s="43" t="str">
        <f>""</f>
        <v/>
      </c>
      <c r="R48" s="44">
        <v>39.25</v>
      </c>
      <c r="S48" s="44">
        <v>0</v>
      </c>
      <c r="T48" s="45">
        <f>SUM(R48:S48)</f>
        <v>39.25</v>
      </c>
    </row>
    <row r="49" spans="1:20" ht="15" x14ac:dyDescent="0.25">
      <c r="A49" s="24" t="s">
        <v>24</v>
      </c>
      <c r="B49" s="40"/>
      <c r="C49" s="40"/>
      <c r="F49" s="40" t="e">
        <f>F48</f>
        <v>#REF!</v>
      </c>
      <c r="G49" s="40" t="e">
        <f>G48</f>
        <v>#REF!</v>
      </c>
      <c r="H49" s="41"/>
      <c r="K49" s="30" t="str">
        <f>"""GP"",""Ute Indian Tribe Membership Fund"",""aaa_contract_detail_sp"",""JRNENTRY"",""1612616"",""aaGLHdrID"",""1782226"",""aaGLDistID"",""15"",""aaGLAssignID"",""1"",""contract"",""3420 FIA 54 UT 2025 5101"""</f>
        <v>"GP","Ute Indian Tribe Membership Fund","aaa_contract_detail_sp","JRNENTRY","1612616","aaGLHdrID","1782226","aaGLDistID","15","aaGLAssignID","1","contract","3420 FIA 54 UT 2025 5101"</v>
      </c>
      <c r="L49" s="42">
        <v>45840</v>
      </c>
      <c r="M49" s="30">
        <v>1612616</v>
      </c>
      <c r="N49" s="30" t="str">
        <f>""</f>
        <v/>
      </c>
      <c r="O49" s="30" t="str">
        <f>""</f>
        <v/>
      </c>
      <c r="P49" s="30" t="str">
        <f>""</f>
        <v/>
      </c>
      <c r="Q49" s="43" t="str">
        <f>""</f>
        <v/>
      </c>
      <c r="R49" s="44">
        <v>192.45</v>
      </c>
      <c r="S49" s="44">
        <v>0</v>
      </c>
      <c r="T49" s="45">
        <f>SUM(R49:S49)</f>
        <v>192.45</v>
      </c>
    </row>
    <row r="50" spans="1:20" ht="15" x14ac:dyDescent="0.25">
      <c r="A50" s="24" t="s">
        <v>24</v>
      </c>
      <c r="B50" s="40"/>
      <c r="C50" s="40"/>
      <c r="F50" s="40" t="e">
        <f>F49</f>
        <v>#REF!</v>
      </c>
      <c r="G50" s="40" t="e">
        <f>G49</f>
        <v>#REF!</v>
      </c>
      <c r="H50" s="41"/>
      <c r="K50" s="30" t="str">
        <f>"""GP"",""Ute Indian Tribe Membership Fund"",""aaa_contract_detail_sp"",""JRNENTRY"",""1612616"",""aaGLHdrID"",""1782226"",""aaGLDistID"",""16"",""aaGLAssignID"",""1"",""contract"",""3420 FIA 54 UT 2025 5101"""</f>
        <v>"GP","Ute Indian Tribe Membership Fund","aaa_contract_detail_sp","JRNENTRY","1612616","aaGLHdrID","1782226","aaGLDistID","16","aaGLAssignID","1","contract","3420 FIA 54 UT 2025 5101"</v>
      </c>
      <c r="L50" s="42">
        <v>45840</v>
      </c>
      <c r="M50" s="30">
        <v>1612616</v>
      </c>
      <c r="N50" s="30" t="str">
        <f>""</f>
        <v/>
      </c>
      <c r="O50" s="30" t="str">
        <f>""</f>
        <v/>
      </c>
      <c r="P50" s="30" t="str">
        <f>""</f>
        <v/>
      </c>
      <c r="Q50" s="43" t="str">
        <f>""</f>
        <v/>
      </c>
      <c r="R50" s="44">
        <v>45.01</v>
      </c>
      <c r="S50" s="44">
        <v>0</v>
      </c>
      <c r="T50" s="45">
        <f>SUM(R50:S50)</f>
        <v>45.01</v>
      </c>
    </row>
    <row r="51" spans="1:20" ht="15" x14ac:dyDescent="0.25">
      <c r="A51" s="24" t="s">
        <v>24</v>
      </c>
      <c r="B51" s="40"/>
      <c r="C51" s="40"/>
      <c r="F51" s="40" t="e">
        <f>F50</f>
        <v>#REF!</v>
      </c>
      <c r="G51" s="40" t="e">
        <f>G50</f>
        <v>#REF!</v>
      </c>
      <c r="H51" s="41"/>
      <c r="K51" s="30" t="str">
        <f>"""GP"",""Ute Indian Tribe Membership Fund"",""aaa_contract_detail_sp"",""JRNENTRY"",""1617618"",""aaGLHdrID"",""1786375"",""aaGLDistID"",""19"",""aaGLAssignID"",""1"",""contract"",""3420 FIA 54 UT 2025 5101"""</f>
        <v>"GP","Ute Indian Tribe Membership Fund","aaa_contract_detail_sp","JRNENTRY","1617618","aaGLHdrID","1786375","aaGLDistID","19","aaGLAssignID","1","contract","3420 FIA 54 UT 2025 5101"</v>
      </c>
      <c r="L51" s="42">
        <v>45841</v>
      </c>
      <c r="M51" s="30">
        <v>1617618</v>
      </c>
      <c r="N51" s="30" t="str">
        <f>""</f>
        <v/>
      </c>
      <c r="O51" s="30" t="str">
        <f>""</f>
        <v/>
      </c>
      <c r="P51" s="30" t="str">
        <f>""</f>
        <v/>
      </c>
      <c r="Q51" s="43" t="str">
        <f>""</f>
        <v/>
      </c>
      <c r="R51" s="44">
        <v>29.43</v>
      </c>
      <c r="S51" s="44">
        <v>0</v>
      </c>
      <c r="T51" s="45">
        <f>SUM(R51:S51)</f>
        <v>29.43</v>
      </c>
    </row>
    <row r="52" spans="1:20" ht="15" x14ac:dyDescent="0.25">
      <c r="A52" s="24" t="s">
        <v>24</v>
      </c>
      <c r="B52" s="40"/>
      <c r="C52" s="40"/>
      <c r="F52" s="40" t="e">
        <f>F51</f>
        <v>#REF!</v>
      </c>
      <c r="G52" s="40" t="e">
        <f>G51</f>
        <v>#REF!</v>
      </c>
      <c r="H52" s="41"/>
      <c r="K52" s="30" t="str">
        <f>"""GP"",""Ute Indian Tribe Membership Fund"",""aaa_contract_detail_sp"",""JRNENTRY"",""1617618"",""aaGLHdrID"",""1786375"",""aaGLDistID"",""20"",""aaGLAssignID"",""1"",""contract"",""3420 FIA 54 UT 2025 5101"""</f>
        <v>"GP","Ute Indian Tribe Membership Fund","aaa_contract_detail_sp","JRNENTRY","1617618","aaGLHdrID","1786375","aaGLDistID","20","aaGLAssignID","1","contract","3420 FIA 54 UT 2025 5101"</v>
      </c>
      <c r="L52" s="42">
        <v>45841</v>
      </c>
      <c r="M52" s="30">
        <v>1617618</v>
      </c>
      <c r="N52" s="30" t="str">
        <f>""</f>
        <v/>
      </c>
      <c r="O52" s="30" t="str">
        <f>""</f>
        <v/>
      </c>
      <c r="P52" s="30" t="str">
        <f>""</f>
        <v/>
      </c>
      <c r="Q52" s="43" t="str">
        <f>""</f>
        <v/>
      </c>
      <c r="R52" s="44">
        <v>24.22</v>
      </c>
      <c r="S52" s="44">
        <v>0</v>
      </c>
      <c r="T52" s="45">
        <f>SUM(R52:S52)</f>
        <v>24.22</v>
      </c>
    </row>
    <row r="53" spans="1:20" ht="15" x14ac:dyDescent="0.25">
      <c r="A53" s="24" t="s">
        <v>24</v>
      </c>
      <c r="B53" s="40"/>
      <c r="C53" s="40"/>
      <c r="F53" s="40" t="e">
        <f>F52</f>
        <v>#REF!</v>
      </c>
      <c r="G53" s="40" t="e">
        <f>G52</f>
        <v>#REF!</v>
      </c>
      <c r="H53" s="41"/>
      <c r="K53" s="30" t="str">
        <f>"""GP"",""Ute Indian Tribe Membership Fund"",""aaa_contract_detail_sp"",""JRNENTRY"",""1617618"",""aaGLHdrID"",""1786375"",""aaGLDistID"",""21"",""aaGLAssignID"",""1"",""contract"",""3420 FIA 54 UT 2025 5101"""</f>
        <v>"GP","Ute Indian Tribe Membership Fund","aaa_contract_detail_sp","JRNENTRY","1617618","aaGLHdrID","1786375","aaGLDistID","21","aaGLAssignID","1","contract","3420 FIA 54 UT 2025 5101"</v>
      </c>
      <c r="L53" s="42">
        <v>45841</v>
      </c>
      <c r="M53" s="30">
        <v>1617618</v>
      </c>
      <c r="N53" s="30" t="str">
        <f>""</f>
        <v/>
      </c>
      <c r="O53" s="30" t="str">
        <f>""</f>
        <v/>
      </c>
      <c r="P53" s="30" t="str">
        <f>""</f>
        <v/>
      </c>
      <c r="Q53" s="43" t="str">
        <f>""</f>
        <v/>
      </c>
      <c r="R53" s="44">
        <v>25.65</v>
      </c>
      <c r="S53" s="44">
        <v>0</v>
      </c>
      <c r="T53" s="45">
        <f>SUM(R53:S53)</f>
        <v>25.65</v>
      </c>
    </row>
    <row r="54" spans="1:20" ht="15" x14ac:dyDescent="0.25">
      <c r="A54" s="24" t="s">
        <v>24</v>
      </c>
      <c r="B54" s="40"/>
      <c r="C54" s="40"/>
      <c r="F54" s="40" t="e">
        <f>F53</f>
        <v>#REF!</v>
      </c>
      <c r="G54" s="40" t="e">
        <f>G53</f>
        <v>#REF!</v>
      </c>
      <c r="H54" s="41"/>
      <c r="K54" s="30" t="str">
        <f>"""GP"",""Ute Indian Tribe Membership Fund"",""aaa_contract_detail_sp"",""JRNENTRY"",""1617618"",""aaGLHdrID"",""1786375"",""aaGLDistID"",""22"",""aaGLAssignID"",""1"",""contract"",""3420 FIA 54 UT 2025 5101"""</f>
        <v>"GP","Ute Indian Tribe Membership Fund","aaa_contract_detail_sp","JRNENTRY","1617618","aaGLHdrID","1786375","aaGLDistID","22","aaGLAssignID","1","contract","3420 FIA 54 UT 2025 5101"</v>
      </c>
      <c r="L54" s="42">
        <v>45841</v>
      </c>
      <c r="M54" s="30">
        <v>1617618</v>
      </c>
      <c r="N54" s="30" t="str">
        <f>""</f>
        <v/>
      </c>
      <c r="O54" s="30" t="str">
        <f>""</f>
        <v/>
      </c>
      <c r="P54" s="30" t="str">
        <f>""</f>
        <v/>
      </c>
      <c r="Q54" s="43" t="str">
        <f>""</f>
        <v/>
      </c>
      <c r="R54" s="44">
        <v>25.35</v>
      </c>
      <c r="S54" s="44">
        <v>0</v>
      </c>
      <c r="T54" s="45">
        <f>SUM(R54:S54)</f>
        <v>25.35</v>
      </c>
    </row>
    <row r="55" spans="1:20" ht="15" x14ac:dyDescent="0.25">
      <c r="A55" s="24" t="s">
        <v>24</v>
      </c>
      <c r="B55" s="40"/>
      <c r="C55" s="40"/>
      <c r="F55" s="40" t="e">
        <f>F54</f>
        <v>#REF!</v>
      </c>
      <c r="G55" s="40" t="e">
        <f>G54</f>
        <v>#REF!</v>
      </c>
      <c r="H55" s="41"/>
      <c r="K55" s="30" t="str">
        <f>"""GP"",""Ute Indian Tribe Membership Fund"",""aaa_contract_detail_sp"",""JRNENTRY"",""1617618"",""aaGLHdrID"",""1786375"",""aaGLDistID"",""663"",""aaGLAssignID"",""1"",""contract"",""3420 FIA 54 UT 2025 5101"""</f>
        <v>"GP","Ute Indian Tribe Membership Fund","aaa_contract_detail_sp","JRNENTRY","1617618","aaGLHdrID","1786375","aaGLDistID","663","aaGLAssignID","1","contract","3420 FIA 54 UT 2025 5101"</v>
      </c>
      <c r="L55" s="42">
        <v>45841</v>
      </c>
      <c r="M55" s="30">
        <v>1617618</v>
      </c>
      <c r="N55" s="30" t="str">
        <f>""</f>
        <v/>
      </c>
      <c r="O55" s="30" t="str">
        <f>""</f>
        <v/>
      </c>
      <c r="P55" s="30" t="str">
        <f>""</f>
        <v/>
      </c>
      <c r="Q55" s="43" t="str">
        <f>""</f>
        <v/>
      </c>
      <c r="R55" s="44">
        <v>32.18</v>
      </c>
      <c r="S55" s="44">
        <v>0</v>
      </c>
      <c r="T55" s="45">
        <f>SUM(R55:S55)</f>
        <v>32.18</v>
      </c>
    </row>
    <row r="56" spans="1:20" ht="15" x14ac:dyDescent="0.25">
      <c r="A56" s="24" t="s">
        <v>24</v>
      </c>
      <c r="B56" s="40"/>
      <c r="C56" s="40"/>
      <c r="F56" s="40" t="e">
        <f>F55</f>
        <v>#REF!</v>
      </c>
      <c r="G56" s="40" t="e">
        <f>G55</f>
        <v>#REF!</v>
      </c>
      <c r="H56" s="41"/>
      <c r="K56" s="30" t="str">
        <f>"""GP"",""Ute Indian Tribe Membership Fund"",""aaa_contract_detail_sp"",""JRNENTRY"",""1617618"",""aaGLHdrID"",""1786375"",""aaGLDistID"",""664"",""aaGLAssignID"",""1"",""contract"",""3420 FIA 54 UT 2025 5101"""</f>
        <v>"GP","Ute Indian Tribe Membership Fund","aaa_contract_detail_sp","JRNENTRY","1617618","aaGLHdrID","1786375","aaGLDistID","664","aaGLAssignID","1","contract","3420 FIA 54 UT 2025 5101"</v>
      </c>
      <c r="L56" s="42">
        <v>45841</v>
      </c>
      <c r="M56" s="30">
        <v>1617618</v>
      </c>
      <c r="N56" s="30" t="str">
        <f>""</f>
        <v/>
      </c>
      <c r="O56" s="30" t="str">
        <f>""</f>
        <v/>
      </c>
      <c r="P56" s="30" t="str">
        <f>""</f>
        <v/>
      </c>
      <c r="Q56" s="43" t="str">
        <f>""</f>
        <v/>
      </c>
      <c r="R56" s="44">
        <v>25.4</v>
      </c>
      <c r="S56" s="44">
        <v>0</v>
      </c>
      <c r="T56" s="45">
        <f>SUM(R56:S56)</f>
        <v>25.4</v>
      </c>
    </row>
    <row r="57" spans="1:20" ht="15" x14ac:dyDescent="0.25">
      <c r="A57" s="24" t="s">
        <v>24</v>
      </c>
      <c r="B57" s="40"/>
      <c r="C57" s="40"/>
      <c r="F57" s="40" t="e">
        <f>F56</f>
        <v>#REF!</v>
      </c>
      <c r="G57" s="40" t="e">
        <f>G56</f>
        <v>#REF!</v>
      </c>
      <c r="H57" s="41"/>
      <c r="K57" s="30" t="str">
        <f>"""GP"",""Ute Indian Tribe Membership Fund"",""aaa_contract_detail_sp"",""JRNENTRY"",""1617618"",""aaGLHdrID"",""1786375"",""aaGLDistID"",""665"",""aaGLAssignID"",""1"",""contract"",""3420 FIA 54 UT 2025 5101"""</f>
        <v>"GP","Ute Indian Tribe Membership Fund","aaa_contract_detail_sp","JRNENTRY","1617618","aaGLHdrID","1786375","aaGLDistID","665","aaGLAssignID","1","contract","3420 FIA 54 UT 2025 5101"</v>
      </c>
      <c r="L57" s="42">
        <v>45841</v>
      </c>
      <c r="M57" s="30">
        <v>1617618</v>
      </c>
      <c r="N57" s="30" t="str">
        <f>""</f>
        <v/>
      </c>
      <c r="O57" s="30" t="str">
        <f>""</f>
        <v/>
      </c>
      <c r="P57" s="30" t="str">
        <f>""</f>
        <v/>
      </c>
      <c r="Q57" s="43" t="str">
        <f>""</f>
        <v/>
      </c>
      <c r="R57" s="44">
        <v>28.24</v>
      </c>
      <c r="S57" s="44">
        <v>0</v>
      </c>
      <c r="T57" s="45">
        <f>SUM(R57:S57)</f>
        <v>28.24</v>
      </c>
    </row>
    <row r="58" spans="1:20" ht="15" x14ac:dyDescent="0.25">
      <c r="A58" s="24" t="s">
        <v>24</v>
      </c>
      <c r="B58" s="40"/>
      <c r="C58" s="40"/>
      <c r="F58" s="40" t="e">
        <f>F57</f>
        <v>#REF!</v>
      </c>
      <c r="G58" s="40" t="e">
        <f>G57</f>
        <v>#REF!</v>
      </c>
      <c r="H58" s="41"/>
      <c r="K58" s="30" t="str">
        <f>"""GP"",""Ute Indian Tribe Membership Fund"",""aaa_contract_detail_sp"",""JRNENTRY"",""1617618"",""aaGLHdrID"",""1786375"",""aaGLDistID"",""666"",""aaGLAssignID"",""1"",""contract"",""3420 FIA 54 UT 2025 5101"""</f>
        <v>"GP","Ute Indian Tribe Membership Fund","aaa_contract_detail_sp","JRNENTRY","1617618","aaGLHdrID","1786375","aaGLDistID","666","aaGLAssignID","1","contract","3420 FIA 54 UT 2025 5101"</v>
      </c>
      <c r="L58" s="42">
        <v>45841</v>
      </c>
      <c r="M58" s="30">
        <v>1617618</v>
      </c>
      <c r="N58" s="30" t="str">
        <f>""</f>
        <v/>
      </c>
      <c r="O58" s="30" t="str">
        <f>""</f>
        <v/>
      </c>
      <c r="P58" s="30" t="str">
        <f>""</f>
        <v/>
      </c>
      <c r="Q58" s="43" t="str">
        <f>""</f>
        <v/>
      </c>
      <c r="R58" s="44">
        <v>28.24</v>
      </c>
      <c r="S58" s="44">
        <v>0</v>
      </c>
      <c r="T58" s="45">
        <f>SUM(R58:S58)</f>
        <v>28.24</v>
      </c>
    </row>
    <row r="59" spans="1:20" ht="15" x14ac:dyDescent="0.25">
      <c r="A59" s="24" t="s">
        <v>24</v>
      </c>
      <c r="B59" s="40"/>
      <c r="C59" s="40"/>
      <c r="F59" s="40" t="e">
        <f>F58</f>
        <v>#REF!</v>
      </c>
      <c r="G59" s="40" t="e">
        <f>G58</f>
        <v>#REF!</v>
      </c>
      <c r="H59" s="41"/>
      <c r="K59" s="30" t="str">
        <f>"""GP"",""Ute Indian Tribe Membership Fund"",""aaa_contract_detail_sp"",""JRNENTRY"",""1614861"",""aaGLHdrID"",""1782734"",""aaGLDistID"",""19"",""aaGLAssignID"",""1"",""contract"",""3420 FIA 54 UT 2025 5101"""</f>
        <v>"GP","Ute Indian Tribe Membership Fund","aaa_contract_detail_sp","JRNENTRY","1614861","aaGLHdrID","1782734","aaGLDistID","19","aaGLAssignID","1","contract","3420 FIA 54 UT 2025 5101"</v>
      </c>
      <c r="L59" s="42">
        <v>45855</v>
      </c>
      <c r="M59" s="30">
        <v>1614861</v>
      </c>
      <c r="N59" s="30" t="str">
        <f>""</f>
        <v/>
      </c>
      <c r="O59" s="30" t="str">
        <f>""</f>
        <v/>
      </c>
      <c r="P59" s="30" t="str">
        <f>""</f>
        <v/>
      </c>
      <c r="Q59" s="43" t="str">
        <f>""</f>
        <v/>
      </c>
      <c r="R59" s="44">
        <v>186.92</v>
      </c>
      <c r="S59" s="44">
        <v>0</v>
      </c>
      <c r="T59" s="45">
        <f>SUM(R59:S59)</f>
        <v>186.92</v>
      </c>
    </row>
    <row r="60" spans="1:20" ht="15" x14ac:dyDescent="0.25">
      <c r="A60" s="24" t="s">
        <v>24</v>
      </c>
      <c r="B60" s="40"/>
      <c r="C60" s="40"/>
      <c r="F60" s="40" t="e">
        <f>F59</f>
        <v>#REF!</v>
      </c>
      <c r="G60" s="40" t="e">
        <f>G59</f>
        <v>#REF!</v>
      </c>
      <c r="H60" s="41"/>
      <c r="K60" s="30" t="str">
        <f>"""GP"",""Ute Indian Tribe Membership Fund"",""aaa_contract_detail_sp"",""JRNENTRY"",""1614861"",""aaGLHdrID"",""1782734"",""aaGLDistID"",""20"",""aaGLAssignID"",""1"",""contract"",""3420 FIA 54 UT 2025 5101"""</f>
        <v>"GP","Ute Indian Tribe Membership Fund","aaa_contract_detail_sp","JRNENTRY","1614861","aaGLHdrID","1782734","aaGLDistID","20","aaGLAssignID","1","contract","3420 FIA 54 UT 2025 5101"</v>
      </c>
      <c r="L60" s="42">
        <v>45855</v>
      </c>
      <c r="M60" s="30">
        <v>1614861</v>
      </c>
      <c r="N60" s="30" t="str">
        <f>""</f>
        <v/>
      </c>
      <c r="O60" s="30" t="str">
        <f>""</f>
        <v/>
      </c>
      <c r="P60" s="30" t="str">
        <f>""</f>
        <v/>
      </c>
      <c r="Q60" s="43" t="str">
        <f>""</f>
        <v/>
      </c>
      <c r="R60" s="44">
        <v>43.72</v>
      </c>
      <c r="S60" s="44">
        <v>0</v>
      </c>
      <c r="T60" s="45">
        <f>SUM(R60:S60)</f>
        <v>43.72</v>
      </c>
    </row>
    <row r="61" spans="1:20" ht="15" x14ac:dyDescent="0.25">
      <c r="A61" s="24" t="s">
        <v>24</v>
      </c>
      <c r="B61" s="40"/>
      <c r="C61" s="40"/>
      <c r="F61" s="40" t="e">
        <f>F60</f>
        <v>#REF!</v>
      </c>
      <c r="G61" s="40" t="e">
        <f>G60</f>
        <v>#REF!</v>
      </c>
      <c r="H61" s="41"/>
      <c r="K61" s="30" t="str">
        <f>"""GP"",""Ute Indian Tribe Membership Fund"",""aaa_contract_detail_sp"",""JRNENTRY"",""1614965"",""aaGLHdrID"",""1782838"",""aaGLDistID"",""17"",""aaGLAssignID"",""1"",""contract"",""3420 FIA 54 UT 2025 5101"""</f>
        <v>"GP","Ute Indian Tribe Membership Fund","aaa_contract_detail_sp","JRNENTRY","1614965","aaGLHdrID","1782838","aaGLDistID","17","aaGLAssignID","1","contract","3420 FIA 54 UT 2025 5101"</v>
      </c>
      <c r="L61" s="42">
        <v>45855</v>
      </c>
      <c r="M61" s="30">
        <v>1614965</v>
      </c>
      <c r="N61" s="30" t="str">
        <f>""</f>
        <v/>
      </c>
      <c r="O61" s="30" t="str">
        <f>""</f>
        <v/>
      </c>
      <c r="P61" s="30" t="str">
        <f>""</f>
        <v/>
      </c>
      <c r="Q61" s="43" t="str">
        <f>""</f>
        <v/>
      </c>
      <c r="R61" s="44">
        <v>265.66000000000003</v>
      </c>
      <c r="S61" s="44">
        <v>0</v>
      </c>
      <c r="T61" s="45">
        <f>SUM(R61:S61)</f>
        <v>265.66000000000003</v>
      </c>
    </row>
    <row r="62" spans="1:20" ht="15" x14ac:dyDescent="0.25">
      <c r="A62" s="24" t="s">
        <v>24</v>
      </c>
      <c r="B62" s="40"/>
      <c r="C62" s="40"/>
      <c r="F62" s="40" t="e">
        <f>F61</f>
        <v>#REF!</v>
      </c>
      <c r="G62" s="40" t="e">
        <f>G61</f>
        <v>#REF!</v>
      </c>
      <c r="H62" s="41"/>
      <c r="K62" s="30" t="str">
        <f>"""GP"",""Ute Indian Tribe Membership Fund"",""aaa_contract_detail_sp"",""JRNENTRY"",""1614965"",""aaGLHdrID"",""1782838"",""aaGLDistID"",""18"",""aaGLAssignID"",""1"",""contract"",""3420 FIA 54 UT 2025 5101"""</f>
        <v>"GP","Ute Indian Tribe Membership Fund","aaa_contract_detail_sp","JRNENTRY","1614965","aaGLHdrID","1782838","aaGLDistID","18","aaGLAssignID","1","contract","3420 FIA 54 UT 2025 5101"</v>
      </c>
      <c r="L62" s="42">
        <v>45855</v>
      </c>
      <c r="M62" s="30">
        <v>1614965</v>
      </c>
      <c r="N62" s="30" t="str">
        <f>""</f>
        <v/>
      </c>
      <c r="O62" s="30" t="str">
        <f>""</f>
        <v/>
      </c>
      <c r="P62" s="30" t="str">
        <f>""</f>
        <v/>
      </c>
      <c r="Q62" s="43" t="str">
        <f>""</f>
        <v/>
      </c>
      <c r="R62" s="44">
        <v>62.13</v>
      </c>
      <c r="S62" s="44">
        <v>0</v>
      </c>
      <c r="T62" s="45">
        <f>SUM(R62:S62)</f>
        <v>62.13</v>
      </c>
    </row>
    <row r="63" spans="1:20" ht="15" x14ac:dyDescent="0.25">
      <c r="A63" s="24" t="s">
        <v>24</v>
      </c>
      <c r="B63" s="40"/>
      <c r="C63" s="40"/>
      <c r="F63" s="40" t="e">
        <f>F62</f>
        <v>#REF!</v>
      </c>
      <c r="G63" s="40" t="e">
        <f>G62</f>
        <v>#REF!</v>
      </c>
      <c r="H63" s="41"/>
      <c r="K63" s="30" t="str">
        <f>"""GP"",""Ute Indian Tribe Membership Fund"",""aaa_contract_detail_sp"",""JRNENTRY"",""1614978"",""aaGLHdrID"",""1782851"",""aaGLDistID"",""16"",""aaGLAssignID"",""1"",""contract"",""3420 FIA 54 UT 2025 5101"""</f>
        <v>"GP","Ute Indian Tribe Membership Fund","aaa_contract_detail_sp","JRNENTRY","1614978","aaGLHdrID","1782851","aaGLDistID","16","aaGLAssignID","1","contract","3420 FIA 54 UT 2025 5101"</v>
      </c>
      <c r="L63" s="42">
        <v>45855</v>
      </c>
      <c r="M63" s="30">
        <v>1614978</v>
      </c>
      <c r="N63" s="30" t="str">
        <f>""</f>
        <v/>
      </c>
      <c r="O63" s="30" t="str">
        <f>""</f>
        <v/>
      </c>
      <c r="P63" s="30" t="str">
        <f>""</f>
        <v/>
      </c>
      <c r="Q63" s="43" t="str">
        <f>""</f>
        <v/>
      </c>
      <c r="R63" s="44">
        <v>169.39</v>
      </c>
      <c r="S63" s="44">
        <v>0</v>
      </c>
      <c r="T63" s="45">
        <f>SUM(R63:S63)</f>
        <v>169.39</v>
      </c>
    </row>
    <row r="64" spans="1:20" ht="15" x14ac:dyDescent="0.25">
      <c r="A64" s="24" t="s">
        <v>24</v>
      </c>
      <c r="B64" s="40"/>
      <c r="C64" s="40"/>
      <c r="F64" s="40" t="e">
        <f>F63</f>
        <v>#REF!</v>
      </c>
      <c r="G64" s="40" t="e">
        <f>G63</f>
        <v>#REF!</v>
      </c>
      <c r="H64" s="41"/>
      <c r="K64" s="30" t="str">
        <f>"""GP"",""Ute Indian Tribe Membership Fund"",""aaa_contract_detail_sp"",""JRNENTRY"",""1614978"",""aaGLHdrID"",""1782851"",""aaGLDistID"",""17"",""aaGLAssignID"",""1"",""contract"",""3420 FIA 54 UT 2025 5101"""</f>
        <v>"GP","Ute Indian Tribe Membership Fund","aaa_contract_detail_sp","JRNENTRY","1614978","aaGLHdrID","1782851","aaGLDistID","17","aaGLAssignID","1","contract","3420 FIA 54 UT 2025 5101"</v>
      </c>
      <c r="L64" s="42">
        <v>45855</v>
      </c>
      <c r="M64" s="30">
        <v>1614978</v>
      </c>
      <c r="N64" s="30" t="str">
        <f>""</f>
        <v/>
      </c>
      <c r="O64" s="30" t="str">
        <f>""</f>
        <v/>
      </c>
      <c r="P64" s="30" t="str">
        <f>""</f>
        <v/>
      </c>
      <c r="Q64" s="43" t="str">
        <f>""</f>
        <v/>
      </c>
      <c r="R64" s="44">
        <v>39.61</v>
      </c>
      <c r="S64" s="44">
        <v>0</v>
      </c>
      <c r="T64" s="45">
        <f>SUM(R64:S64)</f>
        <v>39.61</v>
      </c>
    </row>
    <row r="65" spans="1:20" ht="15" x14ac:dyDescent="0.25">
      <c r="A65" s="24" t="s">
        <v>24</v>
      </c>
      <c r="B65" s="40"/>
      <c r="C65" s="40"/>
      <c r="F65" s="40" t="e">
        <f>F64</f>
        <v>#REF!</v>
      </c>
      <c r="G65" s="40" t="e">
        <f>G64</f>
        <v>#REF!</v>
      </c>
      <c r="H65" s="41"/>
      <c r="K65" s="30" t="str">
        <f>"""GP"",""Ute Indian Tribe Membership Fund"",""aaa_contract_detail_sp"",""JRNENTRY"",""1615019"",""aaGLHdrID"",""1782892"",""aaGLDistID"",""15"",""aaGLAssignID"",""1"",""contract"",""3420 FIA 54 UT 2025 5101"""</f>
        <v>"GP","Ute Indian Tribe Membership Fund","aaa_contract_detail_sp","JRNENTRY","1615019","aaGLHdrID","1782892","aaGLDistID","15","aaGLAssignID","1","contract","3420 FIA 54 UT 2025 5101"</v>
      </c>
      <c r="L65" s="42">
        <v>45855</v>
      </c>
      <c r="M65" s="30">
        <v>1615019</v>
      </c>
      <c r="N65" s="30" t="str">
        <f>""</f>
        <v/>
      </c>
      <c r="O65" s="30" t="str">
        <f>""</f>
        <v/>
      </c>
      <c r="P65" s="30" t="str">
        <f>""</f>
        <v/>
      </c>
      <c r="Q65" s="43" t="str">
        <f>""</f>
        <v/>
      </c>
      <c r="R65" s="44">
        <v>193.96</v>
      </c>
      <c r="S65" s="44">
        <v>0</v>
      </c>
      <c r="T65" s="45">
        <f>SUM(R65:S65)</f>
        <v>193.96</v>
      </c>
    </row>
    <row r="66" spans="1:20" ht="15" x14ac:dyDescent="0.25">
      <c r="A66" s="24" t="s">
        <v>24</v>
      </c>
      <c r="B66" s="40"/>
      <c r="C66" s="40"/>
      <c r="F66" s="40" t="e">
        <f>F65</f>
        <v>#REF!</v>
      </c>
      <c r="G66" s="40" t="e">
        <f>G65</f>
        <v>#REF!</v>
      </c>
      <c r="H66" s="41"/>
      <c r="K66" s="30" t="str">
        <f>"""GP"",""Ute Indian Tribe Membership Fund"",""aaa_contract_detail_sp"",""JRNENTRY"",""1615019"",""aaGLHdrID"",""1782892"",""aaGLDistID"",""16"",""aaGLAssignID"",""1"",""contract"",""3420 FIA 54 UT 2025 5101"""</f>
        <v>"GP","Ute Indian Tribe Membership Fund","aaa_contract_detail_sp","JRNENTRY","1615019","aaGLHdrID","1782892","aaGLDistID","16","aaGLAssignID","1","contract","3420 FIA 54 UT 2025 5101"</v>
      </c>
      <c r="L66" s="42">
        <v>45855</v>
      </c>
      <c r="M66" s="30">
        <v>1615019</v>
      </c>
      <c r="N66" s="30" t="str">
        <f>""</f>
        <v/>
      </c>
      <c r="O66" s="30" t="str">
        <f>""</f>
        <v/>
      </c>
      <c r="P66" s="30" t="str">
        <f>""</f>
        <v/>
      </c>
      <c r="Q66" s="43" t="str">
        <f>""</f>
        <v/>
      </c>
      <c r="R66" s="44">
        <v>45.36</v>
      </c>
      <c r="S66" s="44">
        <v>0</v>
      </c>
      <c r="T66" s="45">
        <f>SUM(R66:S66)</f>
        <v>45.36</v>
      </c>
    </row>
    <row r="67" spans="1:20" ht="15" x14ac:dyDescent="0.25">
      <c r="A67" s="24" t="s">
        <v>24</v>
      </c>
      <c r="B67" s="40"/>
      <c r="C67" s="40"/>
      <c r="F67" s="40" t="e">
        <f>F66</f>
        <v>#REF!</v>
      </c>
      <c r="G67" s="40" t="e">
        <f>G66</f>
        <v>#REF!</v>
      </c>
      <c r="H67" s="41"/>
      <c r="K67" s="30" t="str">
        <f>"""GP"",""Ute Indian Tribe Membership Fund"",""aaa_contract_detail_sp"",""JRNENTRY"",""1616765"",""aaGLHdrID"",""1784613"",""aaGLDistID"",""18"",""aaGLAssignID"",""1"",""contract"",""3420 FIA 54 UT 2025 5101"""</f>
        <v>"GP","Ute Indian Tribe Membership Fund","aaa_contract_detail_sp","JRNENTRY","1616765","aaGLHdrID","1784613","aaGLDistID","18","aaGLAssignID","1","contract","3420 FIA 54 UT 2025 5101"</v>
      </c>
      <c r="L67" s="42">
        <v>45869</v>
      </c>
      <c r="M67" s="30">
        <v>1616765</v>
      </c>
      <c r="N67" s="30" t="str">
        <f>""</f>
        <v/>
      </c>
      <c r="O67" s="30" t="str">
        <f>""</f>
        <v/>
      </c>
      <c r="P67" s="30" t="str">
        <f>""</f>
        <v/>
      </c>
      <c r="Q67" s="43" t="str">
        <f>""</f>
        <v/>
      </c>
      <c r="R67" s="44">
        <v>174.52</v>
      </c>
      <c r="S67" s="44">
        <v>0</v>
      </c>
      <c r="T67" s="45">
        <f>SUM(R67:S67)</f>
        <v>174.52</v>
      </c>
    </row>
    <row r="68" spans="1:20" ht="15" x14ac:dyDescent="0.25">
      <c r="A68" s="24" t="s">
        <v>24</v>
      </c>
      <c r="B68" s="40"/>
      <c r="C68" s="40"/>
      <c r="F68" s="40" t="e">
        <f>F67</f>
        <v>#REF!</v>
      </c>
      <c r="G68" s="40" t="e">
        <f>G67</f>
        <v>#REF!</v>
      </c>
      <c r="H68" s="41"/>
      <c r="K68" s="30" t="str">
        <f>"""GP"",""Ute Indian Tribe Membership Fund"",""aaa_contract_detail_sp"",""JRNENTRY"",""1616765"",""aaGLHdrID"",""1784613"",""aaGLDistID"",""19"",""aaGLAssignID"",""1"",""contract"",""3420 FIA 54 UT 2025 5101"""</f>
        <v>"GP","Ute Indian Tribe Membership Fund","aaa_contract_detail_sp","JRNENTRY","1616765","aaGLHdrID","1784613","aaGLDistID","19","aaGLAssignID","1","contract","3420 FIA 54 UT 2025 5101"</v>
      </c>
      <c r="L68" s="42">
        <v>45869</v>
      </c>
      <c r="M68" s="30">
        <v>1616765</v>
      </c>
      <c r="N68" s="30" t="str">
        <f>""</f>
        <v/>
      </c>
      <c r="O68" s="30" t="str">
        <f>""</f>
        <v/>
      </c>
      <c r="P68" s="30" t="str">
        <f>""</f>
        <v/>
      </c>
      <c r="Q68" s="43" t="str">
        <f>""</f>
        <v/>
      </c>
      <c r="R68" s="44">
        <v>40.81</v>
      </c>
      <c r="S68" s="44">
        <v>0</v>
      </c>
      <c r="T68" s="45">
        <f>SUM(R68:S68)</f>
        <v>40.81</v>
      </c>
    </row>
    <row r="69" spans="1:20" ht="15" x14ac:dyDescent="0.25">
      <c r="A69" s="24" t="s">
        <v>24</v>
      </c>
      <c r="B69" s="40"/>
      <c r="C69" s="40"/>
      <c r="F69" s="40" t="e">
        <f>F68</f>
        <v>#REF!</v>
      </c>
      <c r="G69" s="40" t="e">
        <f>G68</f>
        <v>#REF!</v>
      </c>
      <c r="H69" s="41"/>
      <c r="K69" s="30" t="str">
        <f>"""GP"",""Ute Indian Tribe Membership Fund"",""aaa_contract_detail_sp"",""JRNENTRY"",""1616870"",""aaGLHdrID"",""1784718"",""aaGLDistID"",""16"",""aaGLAssignID"",""1"",""contract"",""3420 FIA 54 UT 2025 5101"""</f>
        <v>"GP","Ute Indian Tribe Membership Fund","aaa_contract_detail_sp","JRNENTRY","1616870","aaGLHdrID","1784718","aaGLDistID","16","aaGLAssignID","1","contract","3420 FIA 54 UT 2025 5101"</v>
      </c>
      <c r="L69" s="42">
        <v>45869</v>
      </c>
      <c r="M69" s="30">
        <v>1616870</v>
      </c>
      <c r="N69" s="30" t="str">
        <f>""</f>
        <v/>
      </c>
      <c r="O69" s="30" t="str">
        <f>""</f>
        <v/>
      </c>
      <c r="P69" s="30" t="str">
        <f>""</f>
        <v/>
      </c>
      <c r="Q69" s="43" t="str">
        <f>""</f>
        <v/>
      </c>
      <c r="R69" s="44">
        <v>151.57</v>
      </c>
      <c r="S69" s="44">
        <v>0</v>
      </c>
      <c r="T69" s="45">
        <f>SUM(R69:S69)</f>
        <v>151.57</v>
      </c>
    </row>
    <row r="70" spans="1:20" ht="15" x14ac:dyDescent="0.25">
      <c r="A70" s="24" t="s">
        <v>24</v>
      </c>
      <c r="B70" s="40"/>
      <c r="C70" s="40"/>
      <c r="F70" s="40" t="e">
        <f>F69</f>
        <v>#REF!</v>
      </c>
      <c r="G70" s="40" t="e">
        <f>G69</f>
        <v>#REF!</v>
      </c>
      <c r="H70" s="41"/>
      <c r="K70" s="30" t="str">
        <f>"""GP"",""Ute Indian Tribe Membership Fund"",""aaa_contract_detail_sp"",""JRNENTRY"",""1616870"",""aaGLHdrID"",""1784718"",""aaGLDistID"",""17"",""aaGLAssignID"",""1"",""contract"",""3420 FIA 54 UT 2025 5101"""</f>
        <v>"GP","Ute Indian Tribe Membership Fund","aaa_contract_detail_sp","JRNENTRY","1616870","aaGLHdrID","1784718","aaGLDistID","17","aaGLAssignID","1","contract","3420 FIA 54 UT 2025 5101"</v>
      </c>
      <c r="L70" s="42">
        <v>45869</v>
      </c>
      <c r="M70" s="30">
        <v>1616870</v>
      </c>
      <c r="N70" s="30" t="str">
        <f>""</f>
        <v/>
      </c>
      <c r="O70" s="30" t="str">
        <f>""</f>
        <v/>
      </c>
      <c r="P70" s="30" t="str">
        <f>""</f>
        <v/>
      </c>
      <c r="Q70" s="43" t="str">
        <f>""</f>
        <v/>
      </c>
      <c r="R70" s="44">
        <v>35.450000000000003</v>
      </c>
      <c r="S70" s="44">
        <v>0</v>
      </c>
      <c r="T70" s="45">
        <f>SUM(R70:S70)</f>
        <v>35.450000000000003</v>
      </c>
    </row>
    <row r="71" spans="1:20" ht="15" x14ac:dyDescent="0.25">
      <c r="A71" s="24" t="s">
        <v>24</v>
      </c>
      <c r="B71" s="40"/>
      <c r="C71" s="40"/>
      <c r="F71" s="40" t="e">
        <f>F70</f>
        <v>#REF!</v>
      </c>
      <c r="G71" s="40" t="e">
        <f>G70</f>
        <v>#REF!</v>
      </c>
      <c r="H71" s="41"/>
      <c r="K71" s="30" t="str">
        <f>"""GP"",""Ute Indian Tribe Membership Fund"",""aaa_contract_detail_sp"",""JRNENTRY"",""1616882"",""aaGLHdrID"",""1784730"",""aaGLDistID"",""16"",""aaGLAssignID"",""1"",""contract"",""3420 FIA 54 UT 2025 5101"""</f>
        <v>"GP","Ute Indian Tribe Membership Fund","aaa_contract_detail_sp","JRNENTRY","1616882","aaGLHdrID","1784730","aaGLDistID","16","aaGLAssignID","1","contract","3420 FIA 54 UT 2025 5101"</v>
      </c>
      <c r="L71" s="42">
        <v>45869</v>
      </c>
      <c r="M71" s="30">
        <v>1616882</v>
      </c>
      <c r="N71" s="30" t="str">
        <f>""</f>
        <v/>
      </c>
      <c r="O71" s="30" t="str">
        <f>""</f>
        <v/>
      </c>
      <c r="P71" s="30" t="str">
        <f>""</f>
        <v/>
      </c>
      <c r="Q71" s="43" t="str">
        <f>""</f>
        <v/>
      </c>
      <c r="R71" s="44">
        <v>169.39</v>
      </c>
      <c r="S71" s="44">
        <v>0</v>
      </c>
      <c r="T71" s="45">
        <f>SUM(R71:S71)</f>
        <v>169.39</v>
      </c>
    </row>
    <row r="72" spans="1:20" ht="15" x14ac:dyDescent="0.25">
      <c r="A72" s="24" t="s">
        <v>24</v>
      </c>
      <c r="B72" s="40"/>
      <c r="C72" s="40"/>
      <c r="F72" s="40" t="e">
        <f>F71</f>
        <v>#REF!</v>
      </c>
      <c r="G72" s="40" t="e">
        <f>G71</f>
        <v>#REF!</v>
      </c>
      <c r="H72" s="41"/>
      <c r="K72" s="30" t="str">
        <f>"""GP"",""Ute Indian Tribe Membership Fund"",""aaa_contract_detail_sp"",""JRNENTRY"",""1616882"",""aaGLHdrID"",""1784730"",""aaGLDistID"",""17"",""aaGLAssignID"",""1"",""contract"",""3420 FIA 54 UT 2025 5101"""</f>
        <v>"GP","Ute Indian Tribe Membership Fund","aaa_contract_detail_sp","JRNENTRY","1616882","aaGLHdrID","1784730","aaGLDistID","17","aaGLAssignID","1","contract","3420 FIA 54 UT 2025 5101"</v>
      </c>
      <c r="L72" s="42">
        <v>45869</v>
      </c>
      <c r="M72" s="30">
        <v>1616882</v>
      </c>
      <c r="N72" s="30" t="str">
        <f>""</f>
        <v/>
      </c>
      <c r="O72" s="30" t="str">
        <f>""</f>
        <v/>
      </c>
      <c r="P72" s="30" t="str">
        <f>""</f>
        <v/>
      </c>
      <c r="Q72" s="43" t="str">
        <f>""</f>
        <v/>
      </c>
      <c r="R72" s="44">
        <v>39.619999999999997</v>
      </c>
      <c r="S72" s="44">
        <v>0</v>
      </c>
      <c r="T72" s="45">
        <f>SUM(R72:S72)</f>
        <v>39.619999999999997</v>
      </c>
    </row>
    <row r="73" spans="1:20" ht="15" x14ac:dyDescent="0.25">
      <c r="A73" s="24" t="s">
        <v>24</v>
      </c>
      <c r="B73" s="40"/>
      <c r="C73" s="40"/>
      <c r="F73" s="40" t="e">
        <f>F72</f>
        <v>#REF!</v>
      </c>
      <c r="G73" s="40" t="e">
        <f>G72</f>
        <v>#REF!</v>
      </c>
      <c r="H73" s="41"/>
      <c r="K73" s="30" t="str">
        <f>"""GP"",""Ute Indian Tribe Membership Fund"",""aaa_contract_detail_sp"",""JRNENTRY"",""1616929"",""aaGLHdrID"",""1784777"",""aaGLDistID"",""15"",""aaGLAssignID"",""1"",""contract"",""3420 FIA 54 UT 2025 5101"""</f>
        <v>"GP","Ute Indian Tribe Membership Fund","aaa_contract_detail_sp","JRNENTRY","1616929","aaGLHdrID","1784777","aaGLDistID","15","aaGLAssignID","1","contract","3420 FIA 54 UT 2025 5101"</v>
      </c>
      <c r="L73" s="42">
        <v>45869</v>
      </c>
      <c r="M73" s="30">
        <v>1616929</v>
      </c>
      <c r="N73" s="30" t="str">
        <f>""</f>
        <v/>
      </c>
      <c r="O73" s="30" t="str">
        <f>""</f>
        <v/>
      </c>
      <c r="P73" s="30" t="str">
        <f>""</f>
        <v/>
      </c>
      <c r="Q73" s="43" t="str">
        <f>""</f>
        <v/>
      </c>
      <c r="R73" s="44">
        <v>193.96</v>
      </c>
      <c r="S73" s="44">
        <v>0</v>
      </c>
      <c r="T73" s="45">
        <f>SUM(R73:S73)</f>
        <v>193.96</v>
      </c>
    </row>
    <row r="74" spans="1:20" ht="15" x14ac:dyDescent="0.25">
      <c r="A74" s="24" t="s">
        <v>24</v>
      </c>
      <c r="B74" s="40"/>
      <c r="C74" s="40"/>
      <c r="F74" s="40" t="e">
        <f>F73</f>
        <v>#REF!</v>
      </c>
      <c r="G74" s="40" t="e">
        <f>G73</f>
        <v>#REF!</v>
      </c>
      <c r="H74" s="41"/>
      <c r="K74" s="30" t="str">
        <f>"""GP"",""Ute Indian Tribe Membership Fund"",""aaa_contract_detail_sp"",""JRNENTRY"",""1616929"",""aaGLHdrID"",""1784777"",""aaGLDistID"",""16"",""aaGLAssignID"",""1"",""contract"",""3420 FIA 54 UT 2025 5101"""</f>
        <v>"GP","Ute Indian Tribe Membership Fund","aaa_contract_detail_sp","JRNENTRY","1616929","aaGLHdrID","1784777","aaGLDistID","16","aaGLAssignID","1","contract","3420 FIA 54 UT 2025 5101"</v>
      </c>
      <c r="L74" s="42">
        <v>45869</v>
      </c>
      <c r="M74" s="30">
        <v>1616929</v>
      </c>
      <c r="N74" s="30" t="str">
        <f>""</f>
        <v/>
      </c>
      <c r="O74" s="30" t="str">
        <f>""</f>
        <v/>
      </c>
      <c r="P74" s="30" t="str">
        <f>""</f>
        <v/>
      </c>
      <c r="Q74" s="43" t="str">
        <f>""</f>
        <v/>
      </c>
      <c r="R74" s="44">
        <v>45.36</v>
      </c>
      <c r="S74" s="44">
        <v>0</v>
      </c>
      <c r="T74" s="45">
        <f>SUM(R74:S74)</f>
        <v>45.36</v>
      </c>
    </row>
    <row r="75" spans="1:20" ht="15" x14ac:dyDescent="0.25">
      <c r="A75" s="24" t="s">
        <v>24</v>
      </c>
      <c r="B75" s="40"/>
      <c r="C75" s="40"/>
      <c r="F75" s="40" t="e">
        <f>F74</f>
        <v>#REF!</v>
      </c>
      <c r="G75" s="40" t="e">
        <f>G74</f>
        <v>#REF!</v>
      </c>
      <c r="H75" s="41"/>
      <c r="K75" s="30" t="str">
        <f>"""GP"",""Ute Indian Tribe Membership Fund"",""aaa_contract_detail_sp"",""JRNENTRY"",""1619683"",""aaGLHdrID"",""1787827"",""aaGLDistID"",""19"",""aaGLAssignID"",""1"",""contract"",""3420 FIA 54 UT 2025 5101"""</f>
        <v>"GP","Ute Indian Tribe Membership Fund","aaa_contract_detail_sp","JRNENTRY","1619683","aaGLHdrID","1787827","aaGLDistID","19","aaGLAssignID","1","contract","3420 FIA 54 UT 2025 5101"</v>
      </c>
      <c r="L75" s="42">
        <v>45883</v>
      </c>
      <c r="M75" s="30">
        <v>1619683</v>
      </c>
      <c r="N75" s="30" t="str">
        <f>""</f>
        <v/>
      </c>
      <c r="O75" s="30" t="str">
        <f>""</f>
        <v/>
      </c>
      <c r="P75" s="30" t="str">
        <f>""</f>
        <v/>
      </c>
      <c r="Q75" s="43" t="str">
        <f>""</f>
        <v/>
      </c>
      <c r="R75" s="44">
        <v>544.11</v>
      </c>
      <c r="S75" s="44">
        <v>0</v>
      </c>
      <c r="T75" s="45">
        <f>SUM(R75:S75)</f>
        <v>544.11</v>
      </c>
    </row>
    <row r="76" spans="1:20" ht="15" x14ac:dyDescent="0.25">
      <c r="A76" s="24" t="s">
        <v>24</v>
      </c>
      <c r="B76" s="40"/>
      <c r="C76" s="40"/>
      <c r="F76" s="40" t="e">
        <f>F75</f>
        <v>#REF!</v>
      </c>
      <c r="G76" s="40" t="e">
        <f>G75</f>
        <v>#REF!</v>
      </c>
      <c r="H76" s="41"/>
      <c r="K76" s="30" t="str">
        <f>"""GP"",""Ute Indian Tribe Membership Fund"",""aaa_contract_detail_sp"",""JRNENTRY"",""1619683"",""aaGLHdrID"",""1787827"",""aaGLDistID"",""20"",""aaGLAssignID"",""1"",""contract"",""3420 FIA 54 UT 2025 5101"""</f>
        <v>"GP","Ute Indian Tribe Membership Fund","aaa_contract_detail_sp","JRNENTRY","1619683","aaGLHdrID","1787827","aaGLDistID","20","aaGLAssignID","1","contract","3420 FIA 54 UT 2025 5101"</v>
      </c>
      <c r="L76" s="42">
        <v>45883</v>
      </c>
      <c r="M76" s="30">
        <v>1619683</v>
      </c>
      <c r="N76" s="30" t="str">
        <f>""</f>
        <v/>
      </c>
      <c r="O76" s="30" t="str">
        <f>""</f>
        <v/>
      </c>
      <c r="P76" s="30" t="str">
        <f>""</f>
        <v/>
      </c>
      <c r="Q76" s="43" t="str">
        <f>""</f>
        <v/>
      </c>
      <c r="R76" s="44">
        <v>127.25</v>
      </c>
      <c r="S76" s="44">
        <v>0</v>
      </c>
      <c r="T76" s="45">
        <f>SUM(R76:S76)</f>
        <v>127.25</v>
      </c>
    </row>
    <row r="77" spans="1:20" ht="15" x14ac:dyDescent="0.25">
      <c r="A77" s="24" t="s">
        <v>24</v>
      </c>
      <c r="B77" s="40"/>
      <c r="C77" s="40"/>
      <c r="F77" s="40" t="e">
        <f>F76</f>
        <v>#REF!</v>
      </c>
      <c r="G77" s="40" t="e">
        <f>G76</f>
        <v>#REF!</v>
      </c>
      <c r="H77" s="41"/>
      <c r="K77" s="30" t="str">
        <f>"""GP"",""Ute Indian Tribe Membership Fund"",""aaa_contract_detail_sp"",""JRNENTRY"",""1619790"",""aaGLHdrID"",""1787934"",""aaGLDistID"",""16"",""aaGLAssignID"",""1"",""contract"",""3420 FIA 54 UT 2025 5101"""</f>
        <v>"GP","Ute Indian Tribe Membership Fund","aaa_contract_detail_sp","JRNENTRY","1619790","aaGLHdrID","1787934","aaGLDistID","16","aaGLAssignID","1","contract","3420 FIA 54 UT 2025 5101"</v>
      </c>
      <c r="L77" s="42">
        <v>45883</v>
      </c>
      <c r="M77" s="30">
        <v>1619790</v>
      </c>
      <c r="N77" s="30" t="str">
        <f>""</f>
        <v/>
      </c>
      <c r="O77" s="30" t="str">
        <f>""</f>
        <v/>
      </c>
      <c r="P77" s="30" t="str">
        <f>""</f>
        <v/>
      </c>
      <c r="Q77" s="43" t="str">
        <f>""</f>
        <v/>
      </c>
      <c r="R77" s="44">
        <v>151.58000000000001</v>
      </c>
      <c r="S77" s="44">
        <v>0</v>
      </c>
      <c r="T77" s="45">
        <f>SUM(R77:S77)</f>
        <v>151.58000000000001</v>
      </c>
    </row>
    <row r="78" spans="1:20" ht="15" x14ac:dyDescent="0.25">
      <c r="A78" s="24" t="s">
        <v>24</v>
      </c>
      <c r="B78" s="40"/>
      <c r="C78" s="40"/>
      <c r="F78" s="40" t="e">
        <f>F77</f>
        <v>#REF!</v>
      </c>
      <c r="G78" s="40" t="e">
        <f>G77</f>
        <v>#REF!</v>
      </c>
      <c r="H78" s="41"/>
      <c r="K78" s="30" t="str">
        <f>"""GP"",""Ute Indian Tribe Membership Fund"",""aaa_contract_detail_sp"",""JRNENTRY"",""1619790"",""aaGLHdrID"",""1787934"",""aaGLDistID"",""17"",""aaGLAssignID"",""1"",""contract"",""3420 FIA 54 UT 2025 5101"""</f>
        <v>"GP","Ute Indian Tribe Membership Fund","aaa_contract_detail_sp","JRNENTRY","1619790","aaGLHdrID","1787934","aaGLDistID","17","aaGLAssignID","1","contract","3420 FIA 54 UT 2025 5101"</v>
      </c>
      <c r="L78" s="42">
        <v>45883</v>
      </c>
      <c r="M78" s="30">
        <v>1619790</v>
      </c>
      <c r="N78" s="30" t="str">
        <f>""</f>
        <v/>
      </c>
      <c r="O78" s="30" t="str">
        <f>""</f>
        <v/>
      </c>
      <c r="P78" s="30" t="str">
        <f>""</f>
        <v/>
      </c>
      <c r="Q78" s="43" t="str">
        <f>""</f>
        <v/>
      </c>
      <c r="R78" s="44">
        <v>35.450000000000003</v>
      </c>
      <c r="S78" s="44">
        <v>0</v>
      </c>
      <c r="T78" s="45">
        <f>SUM(R78:S78)</f>
        <v>35.450000000000003</v>
      </c>
    </row>
    <row r="79" spans="1:20" ht="15" x14ac:dyDescent="0.25">
      <c r="A79" s="24" t="s">
        <v>24</v>
      </c>
      <c r="B79" s="40"/>
      <c r="C79" s="40"/>
      <c r="F79" s="40" t="e">
        <f>F78</f>
        <v>#REF!</v>
      </c>
      <c r="G79" s="40" t="e">
        <f>G78</f>
        <v>#REF!</v>
      </c>
      <c r="H79" s="41"/>
      <c r="K79" s="30" t="str">
        <f>"""GP"",""Ute Indian Tribe Membership Fund"",""aaa_contract_detail_sp"",""JRNENTRY"",""1619800"",""aaGLHdrID"",""1787944"",""aaGLDistID"",""16"",""aaGLAssignID"",""1"",""contract"",""3420 FIA 54 UT 2025 5101"""</f>
        <v>"GP","Ute Indian Tribe Membership Fund","aaa_contract_detail_sp","JRNENTRY","1619800","aaGLHdrID","1787944","aaGLDistID","16","aaGLAssignID","1","contract","3420 FIA 54 UT 2025 5101"</v>
      </c>
      <c r="L79" s="42">
        <v>45883</v>
      </c>
      <c r="M79" s="30">
        <v>1619800</v>
      </c>
      <c r="N79" s="30" t="str">
        <f>""</f>
        <v/>
      </c>
      <c r="O79" s="30" t="str">
        <f>""</f>
        <v/>
      </c>
      <c r="P79" s="30" t="str">
        <f>""</f>
        <v/>
      </c>
      <c r="Q79" s="43" t="str">
        <f>""</f>
        <v/>
      </c>
      <c r="R79" s="44">
        <v>169.39</v>
      </c>
      <c r="S79" s="44">
        <v>0</v>
      </c>
      <c r="T79" s="45">
        <f>SUM(R79:S79)</f>
        <v>169.39</v>
      </c>
    </row>
    <row r="80" spans="1:20" ht="15" x14ac:dyDescent="0.25">
      <c r="A80" s="24" t="s">
        <v>24</v>
      </c>
      <c r="B80" s="40"/>
      <c r="C80" s="40"/>
      <c r="F80" s="40" t="e">
        <f>F79</f>
        <v>#REF!</v>
      </c>
      <c r="G80" s="40" t="e">
        <f>G79</f>
        <v>#REF!</v>
      </c>
      <c r="H80" s="41"/>
      <c r="K80" s="30" t="str">
        <f>"""GP"",""Ute Indian Tribe Membership Fund"",""aaa_contract_detail_sp"",""JRNENTRY"",""1619800"",""aaGLHdrID"",""1787944"",""aaGLDistID"",""17"",""aaGLAssignID"",""1"",""contract"",""3420 FIA 54 UT 2025 5101"""</f>
        <v>"GP","Ute Indian Tribe Membership Fund","aaa_contract_detail_sp","JRNENTRY","1619800","aaGLHdrID","1787944","aaGLDistID","17","aaGLAssignID","1","contract","3420 FIA 54 UT 2025 5101"</v>
      </c>
      <c r="L80" s="42">
        <v>45883</v>
      </c>
      <c r="M80" s="30">
        <v>1619800</v>
      </c>
      <c r="N80" s="30" t="str">
        <f>""</f>
        <v/>
      </c>
      <c r="O80" s="30" t="str">
        <f>""</f>
        <v/>
      </c>
      <c r="P80" s="30" t="str">
        <f>""</f>
        <v/>
      </c>
      <c r="Q80" s="43" t="str">
        <f>""</f>
        <v/>
      </c>
      <c r="R80" s="44">
        <v>39.61</v>
      </c>
      <c r="S80" s="44">
        <v>0</v>
      </c>
      <c r="T80" s="45">
        <f>SUM(R80:S80)</f>
        <v>39.61</v>
      </c>
    </row>
    <row r="81" spans="1:20" ht="15" x14ac:dyDescent="0.25">
      <c r="A81" s="24" t="s">
        <v>24</v>
      </c>
      <c r="B81" s="40"/>
      <c r="C81" s="40"/>
      <c r="F81" s="40" t="e">
        <f>F80</f>
        <v>#REF!</v>
      </c>
      <c r="G81" s="40" t="e">
        <f>G80</f>
        <v>#REF!</v>
      </c>
      <c r="H81" s="41"/>
      <c r="K81" s="30" t="str">
        <f>"""GP"",""Ute Indian Tribe Membership Fund"",""aaa_contract_detail_sp"",""JRNENTRY"",""1619839"",""aaGLHdrID"",""1787983"",""aaGLDistID"",""15"",""aaGLAssignID"",""1"",""contract"",""3420 FIA 54 UT 2025 5101"""</f>
        <v>"GP","Ute Indian Tribe Membership Fund","aaa_contract_detail_sp","JRNENTRY","1619839","aaGLHdrID","1787983","aaGLDistID","15","aaGLAssignID","1","contract","3420 FIA 54 UT 2025 5101"</v>
      </c>
      <c r="L81" s="42">
        <v>45883</v>
      </c>
      <c r="M81" s="30">
        <v>1619839</v>
      </c>
      <c r="N81" s="30" t="str">
        <f>""</f>
        <v/>
      </c>
      <c r="O81" s="30" t="str">
        <f>""</f>
        <v/>
      </c>
      <c r="P81" s="30" t="str">
        <f>""</f>
        <v/>
      </c>
      <c r="Q81" s="43" t="str">
        <f>""</f>
        <v/>
      </c>
      <c r="R81" s="44">
        <v>193.96</v>
      </c>
      <c r="S81" s="44">
        <v>0</v>
      </c>
      <c r="T81" s="45">
        <f>SUM(R81:S81)</f>
        <v>193.96</v>
      </c>
    </row>
    <row r="82" spans="1:20" ht="15" x14ac:dyDescent="0.25">
      <c r="A82" s="24" t="s">
        <v>24</v>
      </c>
      <c r="B82" s="40"/>
      <c r="C82" s="40"/>
      <c r="F82" s="40" t="e">
        <f>F81</f>
        <v>#REF!</v>
      </c>
      <c r="G82" s="40" t="e">
        <f>G81</f>
        <v>#REF!</v>
      </c>
      <c r="H82" s="41"/>
      <c r="K82" s="30" t="str">
        <f>"""GP"",""Ute Indian Tribe Membership Fund"",""aaa_contract_detail_sp"",""JRNENTRY"",""1619839"",""aaGLHdrID"",""1787983"",""aaGLDistID"",""16"",""aaGLAssignID"",""1"",""contract"",""3420 FIA 54 UT 2025 5101"""</f>
        <v>"GP","Ute Indian Tribe Membership Fund","aaa_contract_detail_sp","JRNENTRY","1619839","aaGLHdrID","1787983","aaGLDistID","16","aaGLAssignID","1","contract","3420 FIA 54 UT 2025 5101"</v>
      </c>
      <c r="L82" s="42">
        <v>45883</v>
      </c>
      <c r="M82" s="30">
        <v>1619839</v>
      </c>
      <c r="N82" s="30" t="str">
        <f>""</f>
        <v/>
      </c>
      <c r="O82" s="30" t="str">
        <f>""</f>
        <v/>
      </c>
      <c r="P82" s="30" t="str">
        <f>""</f>
        <v/>
      </c>
      <c r="Q82" s="43" t="str">
        <f>""</f>
        <v/>
      </c>
      <c r="R82" s="44">
        <v>45.37</v>
      </c>
      <c r="S82" s="44">
        <v>0</v>
      </c>
      <c r="T82" s="45">
        <f>SUM(R82:S82)</f>
        <v>45.37</v>
      </c>
    </row>
    <row r="83" spans="1:20" x14ac:dyDescent="0.2">
      <c r="A83" s="24" t="s">
        <v>24</v>
      </c>
      <c r="B83" s="40"/>
      <c r="C83" s="40"/>
      <c r="F83" s="40" t="e">
        <f>#REF!</f>
        <v>#REF!</v>
      </c>
      <c r="G83" s="40" t="e">
        <f>#REF!</f>
        <v>#REF!</v>
      </c>
      <c r="H83" s="41"/>
    </row>
    <row r="84" spans="1:20" x14ac:dyDescent="0.2">
      <c r="A84" s="24" t="s">
        <v>24</v>
      </c>
      <c r="I84" s="53" t="str">
        <f>I42&amp;"   "&amp;J42&amp;"         Total:"</f>
        <v>5021-0-6110-3420   Taxes         Total:</v>
      </c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46">
        <f>SUBTOTAL(9,T43:T83)</f>
        <v>4225.9999999999991</v>
      </c>
    </row>
    <row r="85" spans="1:20" x14ac:dyDescent="0.2">
      <c r="A85" s="24" t="s">
        <v>24</v>
      </c>
    </row>
    <row r="86" spans="1:20" x14ac:dyDescent="0.2">
      <c r="A86" s="24" t="s">
        <v>24</v>
      </c>
    </row>
    <row r="87" spans="1:20" x14ac:dyDescent="0.2">
      <c r="A87" s="24" t="s">
        <v>24</v>
      </c>
      <c r="F87" s="24" t="str">
        <f>"5021-0-6115-3420"</f>
        <v>5021-0-6115-3420</v>
      </c>
      <c r="G87" s="24" t="str">
        <f>"5021-0-6115-3420"</f>
        <v>5021-0-6115-3420</v>
      </c>
      <c r="I87" s="38" t="str">
        <f>G87</f>
        <v>5021-0-6115-3420</v>
      </c>
      <c r="J87" s="38" t="str">
        <f>"Fringe Benefits - Health and Life Insurance"</f>
        <v>Fringe Benefits - Health and Life Insurance</v>
      </c>
      <c r="Q87" s="38"/>
      <c r="R87" s="39"/>
    </row>
    <row r="88" spans="1:20" ht="15" x14ac:dyDescent="0.25">
      <c r="A88" s="24" t="s">
        <v>24</v>
      </c>
      <c r="B88" s="40"/>
      <c r="C88" s="40"/>
      <c r="F88" s="40" t="e">
        <f>#REF!</f>
        <v>#REF!</v>
      </c>
      <c r="G88" s="40" t="e">
        <f>#REF!</f>
        <v>#REF!</v>
      </c>
      <c r="H88" s="41"/>
      <c r="K88" s="30" t="str">
        <f>"""GP"",""Ute Indian Tribe Membership Fund"",""aaa_contract_detail_sp"",""JRNENTRY"",""1612448"",""aaGLHdrID"",""1782059"",""aaGLDistID"",""20"",""aaGLAssignID"",""1"",""contract"",""3420 FIA 54 UT 2025 5101"""</f>
        <v>"GP","Ute Indian Tribe Membership Fund","aaa_contract_detail_sp","JRNENTRY","1612448","aaGLHdrID","1782059","aaGLDistID","20","aaGLAssignID","1","contract","3420 FIA 54 UT 2025 5101"</v>
      </c>
      <c r="L88" s="42">
        <v>45840</v>
      </c>
      <c r="M88" s="30">
        <v>1612448</v>
      </c>
      <c r="N88" s="30" t="str">
        <f>""</f>
        <v/>
      </c>
      <c r="O88" s="30" t="str">
        <f>""</f>
        <v/>
      </c>
      <c r="P88" s="30" t="str">
        <f>""</f>
        <v/>
      </c>
      <c r="Q88" s="43" t="str">
        <f>""</f>
        <v/>
      </c>
      <c r="R88" s="44">
        <v>347.08</v>
      </c>
      <c r="S88" s="44">
        <v>0</v>
      </c>
      <c r="T88" s="45">
        <f>SUM(R88:S88)</f>
        <v>347.08</v>
      </c>
    </row>
    <row r="89" spans="1:20" ht="15" x14ac:dyDescent="0.25">
      <c r="A89" s="24" t="s">
        <v>24</v>
      </c>
      <c r="B89" s="40"/>
      <c r="C89" s="40"/>
      <c r="F89" s="40" t="e">
        <f>F88</f>
        <v>#REF!</v>
      </c>
      <c r="G89" s="40" t="e">
        <f>G88</f>
        <v>#REF!</v>
      </c>
      <c r="H89" s="41"/>
      <c r="K89" s="30" t="str">
        <f>"""GP"",""Ute Indian Tribe Membership Fund"",""aaa_contract_detail_sp"",""JRNENTRY"",""1612554"",""aaGLHdrID"",""1782164"",""aaGLDistID"",""18"",""aaGLAssignID"",""1"",""contract"",""3420 FIA 54 UT 2025 5101"""</f>
        <v>"GP","Ute Indian Tribe Membership Fund","aaa_contract_detail_sp","JRNENTRY","1612554","aaGLHdrID","1782164","aaGLDistID","18","aaGLAssignID","1","contract","3420 FIA 54 UT 2025 5101"</v>
      </c>
      <c r="L89" s="42">
        <v>45840</v>
      </c>
      <c r="M89" s="30">
        <v>1612554</v>
      </c>
      <c r="N89" s="30" t="str">
        <f>""</f>
        <v/>
      </c>
      <c r="O89" s="30" t="str">
        <f>""</f>
        <v/>
      </c>
      <c r="P89" s="30" t="str">
        <f>""</f>
        <v/>
      </c>
      <c r="Q89" s="43" t="str">
        <f>""</f>
        <v/>
      </c>
      <c r="R89" s="44">
        <v>936.31</v>
      </c>
      <c r="S89" s="44">
        <v>0</v>
      </c>
      <c r="T89" s="45">
        <f>SUM(R89:S89)</f>
        <v>936.31</v>
      </c>
    </row>
    <row r="90" spans="1:20" ht="15" x14ac:dyDescent="0.25">
      <c r="A90" s="24" t="s">
        <v>24</v>
      </c>
      <c r="B90" s="40"/>
      <c r="C90" s="40"/>
      <c r="F90" s="40" t="e">
        <f>F89</f>
        <v>#REF!</v>
      </c>
      <c r="G90" s="40" t="e">
        <f>G89</f>
        <v>#REF!</v>
      </c>
      <c r="H90" s="41"/>
      <c r="K90" s="30" t="str">
        <f>"""GP"",""Ute Indian Tribe Membership Fund"",""aaa_contract_detail_sp"",""JRNENTRY"",""1612567"",""aaGLHdrID"",""1782177"",""aaGLDistID"",""18"",""aaGLAssignID"",""1"",""contract"",""3420 FIA 54 UT 2025 5101"""</f>
        <v>"GP","Ute Indian Tribe Membership Fund","aaa_contract_detail_sp","JRNENTRY","1612567","aaGLHdrID","1782177","aaGLDistID","18","aaGLAssignID","1","contract","3420 FIA 54 UT 2025 5101"</v>
      </c>
      <c r="L90" s="42">
        <v>45840</v>
      </c>
      <c r="M90" s="30">
        <v>1612567</v>
      </c>
      <c r="N90" s="30" t="str">
        <f>""</f>
        <v/>
      </c>
      <c r="O90" s="30" t="str">
        <f>""</f>
        <v/>
      </c>
      <c r="P90" s="30" t="str">
        <f>""</f>
        <v/>
      </c>
      <c r="Q90" s="43" t="str">
        <f>""</f>
        <v/>
      </c>
      <c r="R90" s="44">
        <v>936.31</v>
      </c>
      <c r="S90" s="44">
        <v>0</v>
      </c>
      <c r="T90" s="45">
        <f>SUM(R90:S90)</f>
        <v>936.31</v>
      </c>
    </row>
    <row r="91" spans="1:20" ht="15" x14ac:dyDescent="0.25">
      <c r="A91" s="24" t="s">
        <v>24</v>
      </c>
      <c r="B91" s="40"/>
      <c r="C91" s="40"/>
      <c r="F91" s="40" t="e">
        <f>F90</f>
        <v>#REF!</v>
      </c>
      <c r="G91" s="40" t="e">
        <f>G90</f>
        <v>#REF!</v>
      </c>
      <c r="H91" s="41"/>
      <c r="K91" s="30" t="str">
        <f>"""GP"",""Ute Indian Tribe Membership Fund"",""aaa_contract_detail_sp"",""JRNENTRY"",""1612616"",""aaGLHdrID"",""1782226"",""aaGLDistID"",""17"",""aaGLAssignID"",""1"",""contract"",""3420 FIA 54 UT 2025 5101"""</f>
        <v>"GP","Ute Indian Tribe Membership Fund","aaa_contract_detail_sp","JRNENTRY","1612616","aaGLHdrID","1782226","aaGLDistID","17","aaGLAssignID","1","contract","3420 FIA 54 UT 2025 5101"</v>
      </c>
      <c r="L91" s="42">
        <v>45840</v>
      </c>
      <c r="M91" s="30">
        <v>1612616</v>
      </c>
      <c r="N91" s="30" t="str">
        <f>""</f>
        <v/>
      </c>
      <c r="O91" s="30" t="str">
        <f>""</f>
        <v/>
      </c>
      <c r="P91" s="30" t="str">
        <f>""</f>
        <v/>
      </c>
      <c r="Q91" s="43" t="str">
        <f>""</f>
        <v/>
      </c>
      <c r="R91" s="44">
        <v>924.48</v>
      </c>
      <c r="S91" s="44">
        <v>0</v>
      </c>
      <c r="T91" s="45">
        <f>SUM(R91:S91)</f>
        <v>924.48</v>
      </c>
    </row>
    <row r="92" spans="1:20" ht="15" x14ac:dyDescent="0.25">
      <c r="A92" s="24" t="s">
        <v>24</v>
      </c>
      <c r="B92" s="40"/>
      <c r="C92" s="40"/>
      <c r="F92" s="40" t="e">
        <f>F91</f>
        <v>#REF!</v>
      </c>
      <c r="G92" s="40" t="e">
        <f>G91</f>
        <v>#REF!</v>
      </c>
      <c r="H92" s="41"/>
      <c r="K92" s="30" t="str">
        <f>"""GP"",""Ute Indian Tribe Membership Fund"",""aaa_contract_detail_sp"",""JRNENTRY"",""1614861"",""aaGLHdrID"",""1782734"",""aaGLDistID"",""21"",""aaGLAssignID"",""1"",""contract"",""3420 FIA 54 UT 2025 5101"""</f>
        <v>"GP","Ute Indian Tribe Membership Fund","aaa_contract_detail_sp","JRNENTRY","1614861","aaGLHdrID","1782734","aaGLDistID","21","aaGLAssignID","1","contract","3420 FIA 54 UT 2025 5101"</v>
      </c>
      <c r="L92" s="42">
        <v>45855</v>
      </c>
      <c r="M92" s="30">
        <v>1614861</v>
      </c>
      <c r="N92" s="30" t="str">
        <f>""</f>
        <v/>
      </c>
      <c r="O92" s="30" t="str">
        <f>""</f>
        <v/>
      </c>
      <c r="P92" s="30" t="str">
        <f>""</f>
        <v/>
      </c>
      <c r="Q92" s="43" t="str">
        <f>""</f>
        <v/>
      </c>
      <c r="R92" s="44">
        <v>347.08</v>
      </c>
      <c r="S92" s="44">
        <v>0</v>
      </c>
      <c r="T92" s="45">
        <f>SUM(R92:S92)</f>
        <v>347.08</v>
      </c>
    </row>
    <row r="93" spans="1:20" ht="15" x14ac:dyDescent="0.25">
      <c r="A93" s="24" t="s">
        <v>24</v>
      </c>
      <c r="B93" s="40"/>
      <c r="C93" s="40"/>
      <c r="F93" s="40" t="e">
        <f>F92</f>
        <v>#REF!</v>
      </c>
      <c r="G93" s="40" t="e">
        <f>G92</f>
        <v>#REF!</v>
      </c>
      <c r="H93" s="41"/>
      <c r="K93" s="30" t="str">
        <f>"""GP"",""Ute Indian Tribe Membership Fund"",""aaa_contract_detail_sp"",""JRNENTRY"",""1614965"",""aaGLHdrID"",""1782838"",""aaGLDistID"",""19"",""aaGLAssignID"",""1"",""contract"",""3420 FIA 54 UT 2025 5101"""</f>
        <v>"GP","Ute Indian Tribe Membership Fund","aaa_contract_detail_sp","JRNENTRY","1614965","aaGLHdrID","1782838","aaGLDistID","19","aaGLAssignID","1","contract","3420 FIA 54 UT 2025 5101"</v>
      </c>
      <c r="L93" s="42">
        <v>45855</v>
      </c>
      <c r="M93" s="30">
        <v>1614965</v>
      </c>
      <c r="N93" s="30" t="str">
        <f>""</f>
        <v/>
      </c>
      <c r="O93" s="30" t="str">
        <f>""</f>
        <v/>
      </c>
      <c r="P93" s="30" t="str">
        <f>""</f>
        <v/>
      </c>
      <c r="Q93" s="43" t="str">
        <f>""</f>
        <v/>
      </c>
      <c r="R93" s="44">
        <v>936.31</v>
      </c>
      <c r="S93" s="44">
        <v>0</v>
      </c>
      <c r="T93" s="45">
        <f>SUM(R93:S93)</f>
        <v>936.31</v>
      </c>
    </row>
    <row r="94" spans="1:20" ht="15" x14ac:dyDescent="0.25">
      <c r="A94" s="24" t="s">
        <v>24</v>
      </c>
      <c r="B94" s="40"/>
      <c r="C94" s="40"/>
      <c r="F94" s="40" t="e">
        <f>F93</f>
        <v>#REF!</v>
      </c>
      <c r="G94" s="40" t="e">
        <f>G93</f>
        <v>#REF!</v>
      </c>
      <c r="H94" s="41"/>
      <c r="K94" s="30" t="str">
        <f>"""GP"",""Ute Indian Tribe Membership Fund"",""aaa_contract_detail_sp"",""JRNENTRY"",""1614978"",""aaGLHdrID"",""1782851"",""aaGLDistID"",""18"",""aaGLAssignID"",""1"",""contract"",""3420 FIA 54 UT 2025 5101"""</f>
        <v>"GP","Ute Indian Tribe Membership Fund","aaa_contract_detail_sp","JRNENTRY","1614978","aaGLHdrID","1782851","aaGLDistID","18","aaGLAssignID","1","contract","3420 FIA 54 UT 2025 5101"</v>
      </c>
      <c r="L94" s="42">
        <v>45855</v>
      </c>
      <c r="M94" s="30">
        <v>1614978</v>
      </c>
      <c r="N94" s="30" t="str">
        <f>""</f>
        <v/>
      </c>
      <c r="O94" s="30" t="str">
        <f>""</f>
        <v/>
      </c>
      <c r="P94" s="30" t="str">
        <f>""</f>
        <v/>
      </c>
      <c r="Q94" s="43" t="str">
        <f>""</f>
        <v/>
      </c>
      <c r="R94" s="44">
        <v>936.31</v>
      </c>
      <c r="S94" s="44">
        <v>0</v>
      </c>
      <c r="T94" s="45">
        <f>SUM(R94:S94)</f>
        <v>936.31</v>
      </c>
    </row>
    <row r="95" spans="1:20" ht="15" x14ac:dyDescent="0.25">
      <c r="A95" s="24" t="s">
        <v>24</v>
      </c>
      <c r="B95" s="40"/>
      <c r="C95" s="40"/>
      <c r="F95" s="40" t="e">
        <f>F94</f>
        <v>#REF!</v>
      </c>
      <c r="G95" s="40" t="e">
        <f>G94</f>
        <v>#REF!</v>
      </c>
      <c r="H95" s="41"/>
      <c r="K95" s="30" t="str">
        <f>"""GP"",""Ute Indian Tribe Membership Fund"",""aaa_contract_detail_sp"",""JRNENTRY"",""1615019"",""aaGLHdrID"",""1782892"",""aaGLDistID"",""17"",""aaGLAssignID"",""1"",""contract"",""3420 FIA 54 UT 2025 5101"""</f>
        <v>"GP","Ute Indian Tribe Membership Fund","aaa_contract_detail_sp","JRNENTRY","1615019","aaGLHdrID","1782892","aaGLDistID","17","aaGLAssignID","1","contract","3420 FIA 54 UT 2025 5101"</v>
      </c>
      <c r="L95" s="42">
        <v>45855</v>
      </c>
      <c r="M95" s="30">
        <v>1615019</v>
      </c>
      <c r="N95" s="30" t="str">
        <f>""</f>
        <v/>
      </c>
      <c r="O95" s="30" t="str">
        <f>""</f>
        <v/>
      </c>
      <c r="P95" s="30" t="str">
        <f>""</f>
        <v/>
      </c>
      <c r="Q95" s="43" t="str">
        <f>""</f>
        <v/>
      </c>
      <c r="R95" s="44">
        <v>924.48</v>
      </c>
      <c r="S95" s="44">
        <v>0</v>
      </c>
      <c r="T95" s="45">
        <f>SUM(R95:S95)</f>
        <v>924.48</v>
      </c>
    </row>
    <row r="96" spans="1:20" ht="15" x14ac:dyDescent="0.25">
      <c r="A96" s="24" t="s">
        <v>24</v>
      </c>
      <c r="B96" s="40"/>
      <c r="C96" s="40"/>
      <c r="F96" s="40" t="e">
        <f>F95</f>
        <v>#REF!</v>
      </c>
      <c r="G96" s="40" t="e">
        <f>G95</f>
        <v>#REF!</v>
      </c>
      <c r="H96" s="41"/>
      <c r="K96" s="30" t="str">
        <f>"""GP"",""Ute Indian Tribe Membership Fund"",""aaa_contract_detail_sp"",""JRNENTRY"",""1616765"",""aaGLHdrID"",""1784613"",""aaGLDistID"",""20"",""aaGLAssignID"",""1"",""contract"",""3420 FIA 54 UT 2025 5101"""</f>
        <v>"GP","Ute Indian Tribe Membership Fund","aaa_contract_detail_sp","JRNENTRY","1616765","aaGLHdrID","1784613","aaGLDistID","20","aaGLAssignID","1","contract","3420 FIA 54 UT 2025 5101"</v>
      </c>
      <c r="L96" s="42">
        <v>45869</v>
      </c>
      <c r="M96" s="30">
        <v>1616765</v>
      </c>
      <c r="N96" s="30" t="str">
        <f>""</f>
        <v/>
      </c>
      <c r="O96" s="30" t="str">
        <f>""</f>
        <v/>
      </c>
      <c r="P96" s="30" t="str">
        <f>""</f>
        <v/>
      </c>
      <c r="Q96" s="43" t="str">
        <f>""</f>
        <v/>
      </c>
      <c r="R96" s="44">
        <v>350.8</v>
      </c>
      <c r="S96" s="44">
        <v>0</v>
      </c>
      <c r="T96" s="45">
        <f>SUM(R96:S96)</f>
        <v>350.8</v>
      </c>
    </row>
    <row r="97" spans="1:20" ht="15" x14ac:dyDescent="0.25">
      <c r="A97" s="24" t="s">
        <v>24</v>
      </c>
      <c r="B97" s="40"/>
      <c r="C97" s="40"/>
      <c r="F97" s="40" t="e">
        <f>F96</f>
        <v>#REF!</v>
      </c>
      <c r="G97" s="40" t="e">
        <f>G96</f>
        <v>#REF!</v>
      </c>
      <c r="H97" s="41"/>
      <c r="K97" s="30" t="str">
        <f>"""GP"",""Ute Indian Tribe Membership Fund"",""aaa_contract_detail_sp"",""JRNENTRY"",""1616870"",""aaGLHdrID"",""1784718"",""aaGLDistID"",""18"",""aaGLAssignID"",""1"",""contract"",""3420 FIA 54 UT 2025 5101"""</f>
        <v>"GP","Ute Indian Tribe Membership Fund","aaa_contract_detail_sp","JRNENTRY","1616870","aaGLHdrID","1784718","aaGLDistID","18","aaGLAssignID","1","contract","3420 FIA 54 UT 2025 5101"</v>
      </c>
      <c r="L97" s="42">
        <v>45869</v>
      </c>
      <c r="M97" s="30">
        <v>1616870</v>
      </c>
      <c r="N97" s="30" t="str">
        <f>""</f>
        <v/>
      </c>
      <c r="O97" s="30" t="str">
        <f>""</f>
        <v/>
      </c>
      <c r="P97" s="30" t="str">
        <f>""</f>
        <v/>
      </c>
      <c r="Q97" s="43" t="str">
        <f>""</f>
        <v/>
      </c>
      <c r="R97" s="44">
        <v>928.69</v>
      </c>
      <c r="S97" s="44">
        <v>0</v>
      </c>
      <c r="T97" s="45">
        <f>SUM(R97:S97)</f>
        <v>928.69</v>
      </c>
    </row>
    <row r="98" spans="1:20" ht="15" x14ac:dyDescent="0.25">
      <c r="A98" s="24" t="s">
        <v>24</v>
      </c>
      <c r="B98" s="40"/>
      <c r="C98" s="40"/>
      <c r="F98" s="40" t="e">
        <f>F97</f>
        <v>#REF!</v>
      </c>
      <c r="G98" s="40" t="e">
        <f>G97</f>
        <v>#REF!</v>
      </c>
      <c r="H98" s="41"/>
      <c r="K98" s="30" t="str">
        <f>"""GP"",""Ute Indian Tribe Membership Fund"",""aaa_contract_detail_sp"",""JRNENTRY"",""1616882"",""aaGLHdrID"",""1784730"",""aaGLDistID"",""18"",""aaGLAssignID"",""1"",""contract"",""3420 FIA 54 UT 2025 5101"""</f>
        <v>"GP","Ute Indian Tribe Membership Fund","aaa_contract_detail_sp","JRNENTRY","1616882","aaGLHdrID","1784730","aaGLDistID","18","aaGLAssignID","1","contract","3420 FIA 54 UT 2025 5101"</v>
      </c>
      <c r="L98" s="42">
        <v>45869</v>
      </c>
      <c r="M98" s="30">
        <v>1616882</v>
      </c>
      <c r="N98" s="30" t="str">
        <f>""</f>
        <v/>
      </c>
      <c r="O98" s="30" t="str">
        <f>""</f>
        <v/>
      </c>
      <c r="P98" s="30" t="str">
        <f>""</f>
        <v/>
      </c>
      <c r="Q98" s="43" t="str">
        <f>""</f>
        <v/>
      </c>
      <c r="R98" s="44">
        <v>928.69</v>
      </c>
      <c r="S98" s="44">
        <v>0</v>
      </c>
      <c r="T98" s="45">
        <f>SUM(R98:S98)</f>
        <v>928.69</v>
      </c>
    </row>
    <row r="99" spans="1:20" ht="15" x14ac:dyDescent="0.25">
      <c r="A99" s="24" t="s">
        <v>24</v>
      </c>
      <c r="B99" s="40"/>
      <c r="C99" s="40"/>
      <c r="F99" s="40" t="e">
        <f>F98</f>
        <v>#REF!</v>
      </c>
      <c r="G99" s="40" t="e">
        <f>G98</f>
        <v>#REF!</v>
      </c>
      <c r="H99" s="41"/>
      <c r="K99" s="30" t="str">
        <f>"""GP"",""Ute Indian Tribe Membership Fund"",""aaa_contract_detail_sp"",""JRNENTRY"",""1616929"",""aaGLHdrID"",""1784777"",""aaGLDistID"",""17"",""aaGLAssignID"",""1"",""contract"",""3420 FIA 54 UT 2025 5101"""</f>
        <v>"GP","Ute Indian Tribe Membership Fund","aaa_contract_detail_sp","JRNENTRY","1616929","aaGLHdrID","1784777","aaGLDistID","17","aaGLAssignID","1","contract","3420 FIA 54 UT 2025 5101"</v>
      </c>
      <c r="L99" s="42">
        <v>45869</v>
      </c>
      <c r="M99" s="30">
        <v>1616929</v>
      </c>
      <c r="N99" s="30" t="str">
        <f>""</f>
        <v/>
      </c>
      <c r="O99" s="30" t="str">
        <f>""</f>
        <v/>
      </c>
      <c r="P99" s="30" t="str">
        <f>""</f>
        <v/>
      </c>
      <c r="Q99" s="43" t="str">
        <f>""</f>
        <v/>
      </c>
      <c r="R99" s="44">
        <v>925.93</v>
      </c>
      <c r="S99" s="44">
        <v>0</v>
      </c>
      <c r="T99" s="45">
        <f>SUM(R99:S99)</f>
        <v>925.93</v>
      </c>
    </row>
    <row r="100" spans="1:20" ht="15" x14ac:dyDescent="0.25">
      <c r="A100" s="24" t="s">
        <v>24</v>
      </c>
      <c r="B100" s="40"/>
      <c r="C100" s="40"/>
      <c r="F100" s="40" t="e">
        <f>F99</f>
        <v>#REF!</v>
      </c>
      <c r="G100" s="40" t="e">
        <f>G99</f>
        <v>#REF!</v>
      </c>
      <c r="H100" s="41"/>
      <c r="K100" s="30" t="str">
        <f>"""GP"",""Ute Indian Tribe Membership Fund"",""aaa_contract_detail_sp"",""JRNENTRY"",""1619683"",""aaGLHdrID"",""1787827"",""aaGLDistID"",""21"",""aaGLAssignID"",""1"",""contract"",""3420 FIA 54 UT 2025 5101"""</f>
        <v>"GP","Ute Indian Tribe Membership Fund","aaa_contract_detail_sp","JRNENTRY","1619683","aaGLHdrID","1787827","aaGLDistID","21","aaGLAssignID","1","contract","3420 FIA 54 UT 2025 5101"</v>
      </c>
      <c r="L100" s="42">
        <v>45883</v>
      </c>
      <c r="M100" s="30">
        <v>1619683</v>
      </c>
      <c r="N100" s="30" t="str">
        <f>""</f>
        <v/>
      </c>
      <c r="O100" s="30" t="str">
        <f>""</f>
        <v/>
      </c>
      <c r="P100" s="30" t="str">
        <f>""</f>
        <v/>
      </c>
      <c r="Q100" s="43" t="str">
        <f>""</f>
        <v/>
      </c>
      <c r="R100" s="44">
        <v>350.8</v>
      </c>
      <c r="S100" s="44">
        <v>0</v>
      </c>
      <c r="T100" s="45">
        <f>SUM(R100:S100)</f>
        <v>350.8</v>
      </c>
    </row>
    <row r="101" spans="1:20" ht="15" x14ac:dyDescent="0.25">
      <c r="A101" s="24" t="s">
        <v>24</v>
      </c>
      <c r="B101" s="40"/>
      <c r="C101" s="40"/>
      <c r="F101" s="40" t="e">
        <f>F100</f>
        <v>#REF!</v>
      </c>
      <c r="G101" s="40" t="e">
        <f>G100</f>
        <v>#REF!</v>
      </c>
      <c r="H101" s="41"/>
      <c r="K101" s="30" t="str">
        <f>"""GP"",""Ute Indian Tribe Membership Fund"",""aaa_contract_detail_sp"",""JRNENTRY"",""1619790"",""aaGLHdrID"",""1787934"",""aaGLDistID"",""18"",""aaGLAssignID"",""1"",""contract"",""3420 FIA 54 UT 2025 5101"""</f>
        <v>"GP","Ute Indian Tribe Membership Fund","aaa_contract_detail_sp","JRNENTRY","1619790","aaGLHdrID","1787934","aaGLDistID","18","aaGLAssignID","1","contract","3420 FIA 54 UT 2025 5101"</v>
      </c>
      <c r="L101" s="42">
        <v>45883</v>
      </c>
      <c r="M101" s="30">
        <v>1619790</v>
      </c>
      <c r="N101" s="30" t="str">
        <f>""</f>
        <v/>
      </c>
      <c r="O101" s="30" t="str">
        <f>""</f>
        <v/>
      </c>
      <c r="P101" s="30" t="str">
        <f>""</f>
        <v/>
      </c>
      <c r="Q101" s="43" t="str">
        <f>""</f>
        <v/>
      </c>
      <c r="R101" s="44">
        <v>928.69</v>
      </c>
      <c r="S101" s="44">
        <v>0</v>
      </c>
      <c r="T101" s="45">
        <f>SUM(R101:S101)</f>
        <v>928.69</v>
      </c>
    </row>
    <row r="102" spans="1:20" ht="15" x14ac:dyDescent="0.25">
      <c r="A102" s="24" t="s">
        <v>24</v>
      </c>
      <c r="B102" s="40"/>
      <c r="C102" s="40"/>
      <c r="F102" s="40" t="e">
        <f>F101</f>
        <v>#REF!</v>
      </c>
      <c r="G102" s="40" t="e">
        <f>G101</f>
        <v>#REF!</v>
      </c>
      <c r="H102" s="41"/>
      <c r="K102" s="30" t="str">
        <f>"""GP"",""Ute Indian Tribe Membership Fund"",""aaa_contract_detail_sp"",""JRNENTRY"",""1619800"",""aaGLHdrID"",""1787944"",""aaGLDistID"",""18"",""aaGLAssignID"",""1"",""contract"",""3420 FIA 54 UT 2025 5101"""</f>
        <v>"GP","Ute Indian Tribe Membership Fund","aaa_contract_detail_sp","JRNENTRY","1619800","aaGLHdrID","1787944","aaGLDistID","18","aaGLAssignID","1","contract","3420 FIA 54 UT 2025 5101"</v>
      </c>
      <c r="L102" s="42">
        <v>45883</v>
      </c>
      <c r="M102" s="30">
        <v>1619800</v>
      </c>
      <c r="N102" s="30" t="str">
        <f>""</f>
        <v/>
      </c>
      <c r="O102" s="30" t="str">
        <f>""</f>
        <v/>
      </c>
      <c r="P102" s="30" t="str">
        <f>""</f>
        <v/>
      </c>
      <c r="Q102" s="43" t="str">
        <f>""</f>
        <v/>
      </c>
      <c r="R102" s="44">
        <v>928.69</v>
      </c>
      <c r="S102" s="44">
        <v>0</v>
      </c>
      <c r="T102" s="45">
        <f>SUM(R102:S102)</f>
        <v>928.69</v>
      </c>
    </row>
    <row r="103" spans="1:20" ht="15" x14ac:dyDescent="0.25">
      <c r="A103" s="24" t="s">
        <v>24</v>
      </c>
      <c r="B103" s="40"/>
      <c r="C103" s="40"/>
      <c r="F103" s="40" t="e">
        <f>F102</f>
        <v>#REF!</v>
      </c>
      <c r="G103" s="40" t="e">
        <f>G102</f>
        <v>#REF!</v>
      </c>
      <c r="H103" s="41"/>
      <c r="K103" s="30" t="str">
        <f>"""GP"",""Ute Indian Tribe Membership Fund"",""aaa_contract_detail_sp"",""JRNENTRY"",""1619839"",""aaGLHdrID"",""1787983"",""aaGLDistID"",""17"",""aaGLAssignID"",""1"",""contract"",""3420 FIA 54 UT 2025 5101"""</f>
        <v>"GP","Ute Indian Tribe Membership Fund","aaa_contract_detail_sp","JRNENTRY","1619839","aaGLHdrID","1787983","aaGLDistID","17","aaGLAssignID","1","contract","3420 FIA 54 UT 2025 5101"</v>
      </c>
      <c r="L103" s="42">
        <v>45883</v>
      </c>
      <c r="M103" s="30">
        <v>1619839</v>
      </c>
      <c r="N103" s="30" t="str">
        <f>""</f>
        <v/>
      </c>
      <c r="O103" s="30" t="str">
        <f>""</f>
        <v/>
      </c>
      <c r="P103" s="30" t="str">
        <f>""</f>
        <v/>
      </c>
      <c r="Q103" s="43" t="str">
        <f>""</f>
        <v/>
      </c>
      <c r="R103" s="44">
        <v>925.93</v>
      </c>
      <c r="S103" s="44">
        <v>0</v>
      </c>
      <c r="T103" s="45">
        <f>SUM(R103:S103)</f>
        <v>925.93</v>
      </c>
    </row>
    <row r="104" spans="1:20" x14ac:dyDescent="0.2">
      <c r="A104" s="24" t="s">
        <v>24</v>
      </c>
      <c r="B104" s="40"/>
      <c r="C104" s="40"/>
      <c r="F104" s="40" t="e">
        <f>#REF!</f>
        <v>#REF!</v>
      </c>
      <c r="G104" s="40" t="e">
        <f>#REF!</f>
        <v>#REF!</v>
      </c>
      <c r="H104" s="41"/>
    </row>
    <row r="105" spans="1:20" x14ac:dyDescent="0.2">
      <c r="A105" s="24" t="s">
        <v>24</v>
      </c>
      <c r="I105" s="53" t="str">
        <f>I87&amp;"   "&amp;J87&amp;"         Total:"</f>
        <v>5021-0-6115-3420   Fringe Benefits - Health and Life Insurance         Total:</v>
      </c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46">
        <f>SUBTOTAL(9,T88:T104)</f>
        <v>12556.58</v>
      </c>
    </row>
    <row r="106" spans="1:20" x14ac:dyDescent="0.2">
      <c r="A106" s="24" t="s">
        <v>24</v>
      </c>
    </row>
    <row r="107" spans="1:20" x14ac:dyDescent="0.2">
      <c r="A107" s="24" t="s">
        <v>24</v>
      </c>
    </row>
    <row r="108" spans="1:20" x14ac:dyDescent="0.2">
      <c r="A108" s="24" t="s">
        <v>24</v>
      </c>
      <c r="F108" s="24" t="str">
        <f>"5021-0-6120-3420"</f>
        <v>5021-0-6120-3420</v>
      </c>
      <c r="G108" s="24" t="str">
        <f>"5021-0-6120-3420"</f>
        <v>5021-0-6120-3420</v>
      </c>
      <c r="I108" s="38" t="str">
        <f>G108</f>
        <v>5021-0-6120-3420</v>
      </c>
      <c r="J108" s="38" t="str">
        <f>"Fringe Benefits - Retirement"</f>
        <v>Fringe Benefits - Retirement</v>
      </c>
      <c r="Q108" s="38"/>
      <c r="R108" s="39"/>
    </row>
    <row r="109" spans="1:20" ht="15" x14ac:dyDescent="0.25">
      <c r="A109" s="24" t="s">
        <v>24</v>
      </c>
      <c r="B109" s="40"/>
      <c r="C109" s="40"/>
      <c r="F109" s="40" t="e">
        <f>#REF!</f>
        <v>#REF!</v>
      </c>
      <c r="G109" s="40" t="e">
        <f>#REF!</f>
        <v>#REF!</v>
      </c>
      <c r="H109" s="41"/>
      <c r="K109" s="30" t="str">
        <f>"""GP"",""Ute Indian Tribe Membership Fund"",""aaa_contract_detail_sp"",""JRNENTRY"",""1612448"",""aaGLHdrID"",""1782059"",""aaGLDistID"",""21"",""aaGLAssignID"",""1"",""contract"",""3420 FIA 54 UT 2025 5101"""</f>
        <v>"GP","Ute Indian Tribe Membership Fund","aaa_contract_detail_sp","JRNENTRY","1612448","aaGLHdrID","1782059","aaGLDistID","21","aaGLAssignID","1","contract","3420 FIA 54 UT 2025 5101"</v>
      </c>
      <c r="L109" s="42">
        <v>45840</v>
      </c>
      <c r="M109" s="30">
        <v>1612448</v>
      </c>
      <c r="N109" s="30" t="str">
        <f>""</f>
        <v/>
      </c>
      <c r="O109" s="30" t="str">
        <f>""</f>
        <v/>
      </c>
      <c r="P109" s="30" t="str">
        <f>""</f>
        <v/>
      </c>
      <c r="Q109" s="43" t="str">
        <f>""</f>
        <v/>
      </c>
      <c r="R109" s="44">
        <v>141.22</v>
      </c>
      <c r="S109" s="44">
        <v>0</v>
      </c>
      <c r="T109" s="45">
        <f>SUM(R109:S109)</f>
        <v>141.22</v>
      </c>
    </row>
    <row r="110" spans="1:20" ht="15" x14ac:dyDescent="0.25">
      <c r="A110" s="24" t="s">
        <v>24</v>
      </c>
      <c r="B110" s="40"/>
      <c r="C110" s="40"/>
      <c r="F110" s="40" t="e">
        <f>F109</f>
        <v>#REF!</v>
      </c>
      <c r="G110" s="40" t="e">
        <f>G109</f>
        <v>#REF!</v>
      </c>
      <c r="H110" s="41"/>
      <c r="K110" s="30" t="str">
        <f>"""GP"",""Ute Indian Tribe Membership Fund"",""aaa_contract_detail_sp"",""JRNENTRY"",""1612554"",""aaGLHdrID"",""1782164"",""aaGLDistID"",""19"",""aaGLAssignID"",""1"",""contract"",""3420 FIA 54 UT 2025 5101"""</f>
        <v>"GP","Ute Indian Tribe Membership Fund","aaa_contract_detail_sp","JRNENTRY","1612554","aaGLHdrID","1782164","aaGLDistID","19","aaGLAssignID","1","contract","3420 FIA 54 UT 2025 5101"</v>
      </c>
      <c r="L110" s="42">
        <v>45840</v>
      </c>
      <c r="M110" s="30">
        <v>1612554</v>
      </c>
      <c r="N110" s="30" t="str">
        <f>""</f>
        <v/>
      </c>
      <c r="O110" s="30" t="str">
        <f>""</f>
        <v/>
      </c>
      <c r="P110" s="30" t="str">
        <f>""</f>
        <v/>
      </c>
      <c r="Q110" s="43" t="str">
        <f>""</f>
        <v/>
      </c>
      <c r="R110" s="44">
        <v>126.98</v>
      </c>
      <c r="S110" s="44">
        <v>0</v>
      </c>
      <c r="T110" s="45">
        <f>SUM(R110:S110)</f>
        <v>126.98</v>
      </c>
    </row>
    <row r="111" spans="1:20" ht="15" x14ac:dyDescent="0.25">
      <c r="A111" s="24" t="s">
        <v>24</v>
      </c>
      <c r="B111" s="40"/>
      <c r="C111" s="40"/>
      <c r="F111" s="40" t="e">
        <f>F110</f>
        <v>#REF!</v>
      </c>
      <c r="G111" s="40" t="e">
        <f>G110</f>
        <v>#REF!</v>
      </c>
      <c r="H111" s="41"/>
      <c r="K111" s="30" t="str">
        <f>"""GP"",""Ute Indian Tribe Membership Fund"",""aaa_contract_detail_sp"",""JRNENTRY"",""1612567"",""aaGLHdrID"",""1782177"",""aaGLDistID"",""19"",""aaGLAssignID"",""1"",""contract"",""3420 FIA 54 UT 2025 5101"""</f>
        <v>"GP","Ute Indian Tribe Membership Fund","aaa_contract_detail_sp","JRNENTRY","1612567","aaGLHdrID","1782177","aaGLDistID","19","aaGLAssignID","1","contract","3420 FIA 54 UT 2025 5101"</v>
      </c>
      <c r="L111" s="42">
        <v>45840</v>
      </c>
      <c r="M111" s="30">
        <v>1612567</v>
      </c>
      <c r="N111" s="30" t="str">
        <f>""</f>
        <v/>
      </c>
      <c r="O111" s="30" t="str">
        <f>""</f>
        <v/>
      </c>
      <c r="P111" s="30" t="str">
        <f>""</f>
        <v/>
      </c>
      <c r="Q111" s="43" t="str">
        <f>""</f>
        <v/>
      </c>
      <c r="R111" s="44">
        <v>141.22</v>
      </c>
      <c r="S111" s="44">
        <v>0</v>
      </c>
      <c r="T111" s="45">
        <f>SUM(R111:S111)</f>
        <v>141.22</v>
      </c>
    </row>
    <row r="112" spans="1:20" ht="15" x14ac:dyDescent="0.25">
      <c r="A112" s="24" t="s">
        <v>24</v>
      </c>
      <c r="B112" s="40"/>
      <c r="C112" s="40"/>
      <c r="F112" s="40" t="e">
        <f>F111</f>
        <v>#REF!</v>
      </c>
      <c r="G112" s="40" t="e">
        <f>G111</f>
        <v>#REF!</v>
      </c>
      <c r="H112" s="41"/>
      <c r="K112" s="30" t="str">
        <f>"""GP"",""Ute Indian Tribe Membership Fund"",""aaa_contract_detail_sp"",""JRNENTRY"",""1612616"",""aaGLHdrID"",""1782226"",""aaGLDistID"",""18"",""aaGLAssignID"",""1"",""contract"",""3420 FIA 54 UT 2025 5101"""</f>
        <v>"GP","Ute Indian Tribe Membership Fund","aaa_contract_detail_sp","JRNENTRY","1612616","aaGLHdrID","1782226","aaGLDistID","18","aaGLAssignID","1","contract","3420 FIA 54 UT 2025 5101"</v>
      </c>
      <c r="L112" s="42">
        <v>45840</v>
      </c>
      <c r="M112" s="30">
        <v>1612616</v>
      </c>
      <c r="N112" s="30" t="str">
        <f>""</f>
        <v/>
      </c>
      <c r="O112" s="30" t="str">
        <f>""</f>
        <v/>
      </c>
      <c r="P112" s="30" t="str">
        <f>""</f>
        <v/>
      </c>
      <c r="Q112" s="43" t="str">
        <f>""</f>
        <v/>
      </c>
      <c r="R112" s="44">
        <v>160.9</v>
      </c>
      <c r="S112" s="44">
        <v>0</v>
      </c>
      <c r="T112" s="45">
        <f>SUM(R112:S112)</f>
        <v>160.9</v>
      </c>
    </row>
    <row r="113" spans="1:20" ht="15" x14ac:dyDescent="0.25">
      <c r="A113" s="24" t="s">
        <v>24</v>
      </c>
      <c r="B113" s="40"/>
      <c r="C113" s="40"/>
      <c r="F113" s="40" t="e">
        <f>F112</f>
        <v>#REF!</v>
      </c>
      <c r="G113" s="40" t="e">
        <f>G112</f>
        <v>#REF!</v>
      </c>
      <c r="H113" s="41"/>
      <c r="K113" s="30" t="str">
        <f>"""GP"",""Ute Indian Tribe Membership Fund"",""aaa_contract_detail_sp"",""JRNENTRY"",""1614861"",""aaGLHdrID"",""1782734"",""aaGLDistID"",""22"",""aaGLAssignID"",""1"",""contract"",""3420 FIA 54 UT 2025 5101"""</f>
        <v>"GP","Ute Indian Tribe Membership Fund","aaa_contract_detail_sp","JRNENTRY","1614861","aaGLHdrID","1782734","aaGLDistID","22","aaGLAssignID","1","contract","3420 FIA 54 UT 2025 5101"</v>
      </c>
      <c r="L113" s="42">
        <v>45855</v>
      </c>
      <c r="M113" s="30">
        <v>1614861</v>
      </c>
      <c r="N113" s="30" t="str">
        <f>""</f>
        <v/>
      </c>
      <c r="O113" s="30" t="str">
        <f>""</f>
        <v/>
      </c>
      <c r="P113" s="30" t="str">
        <f>""</f>
        <v/>
      </c>
      <c r="Q113" s="43" t="str">
        <f>""</f>
        <v/>
      </c>
      <c r="R113" s="44">
        <v>152.5</v>
      </c>
      <c r="S113" s="44">
        <v>0</v>
      </c>
      <c r="T113" s="45">
        <f>SUM(R113:S113)</f>
        <v>152.5</v>
      </c>
    </row>
    <row r="114" spans="1:20" ht="15" x14ac:dyDescent="0.25">
      <c r="A114" s="24" t="s">
        <v>24</v>
      </c>
      <c r="B114" s="40"/>
      <c r="C114" s="40"/>
      <c r="F114" s="40" t="e">
        <f>F113</f>
        <v>#REF!</v>
      </c>
      <c r="G114" s="40" t="e">
        <f>G113</f>
        <v>#REF!</v>
      </c>
      <c r="H114" s="41"/>
      <c r="K114" s="30" t="str">
        <f>"""GP"",""Ute Indian Tribe Membership Fund"",""aaa_contract_detail_sp"",""JRNENTRY"",""1614965"",""aaGLHdrID"",""1782838"",""aaGLDistID"",""20"",""aaGLAssignID"",""1"",""contract"",""3420 FIA 54 UT 2025 5101"""</f>
        <v>"GP","Ute Indian Tribe Membership Fund","aaa_contract_detail_sp","JRNENTRY","1614965","aaGLHdrID","1782838","aaGLDistID","20","aaGLAssignID","1","contract","3420 FIA 54 UT 2025 5101"</v>
      </c>
      <c r="L114" s="42">
        <v>45855</v>
      </c>
      <c r="M114" s="30">
        <v>1614965</v>
      </c>
      <c r="N114" s="30" t="str">
        <f>""</f>
        <v/>
      </c>
      <c r="O114" s="30" t="str">
        <f>""</f>
        <v/>
      </c>
      <c r="P114" s="30" t="str">
        <f>""</f>
        <v/>
      </c>
      <c r="Q114" s="43" t="str">
        <f>""</f>
        <v/>
      </c>
      <c r="R114" s="44">
        <v>220.13</v>
      </c>
      <c r="S114" s="44">
        <v>0</v>
      </c>
      <c r="T114" s="45">
        <f>SUM(R114:S114)</f>
        <v>220.13</v>
      </c>
    </row>
    <row r="115" spans="1:20" ht="15" x14ac:dyDescent="0.25">
      <c r="A115" s="24" t="s">
        <v>24</v>
      </c>
      <c r="B115" s="40"/>
      <c r="C115" s="40"/>
      <c r="F115" s="40" t="e">
        <f>F114</f>
        <v>#REF!</v>
      </c>
      <c r="G115" s="40" t="e">
        <f>G114</f>
        <v>#REF!</v>
      </c>
      <c r="H115" s="41"/>
      <c r="K115" s="30" t="str">
        <f>"""GP"",""Ute Indian Tribe Membership Fund"",""aaa_contract_detail_sp"",""JRNENTRY"",""1614978"",""aaGLHdrID"",""1782851"",""aaGLDistID"",""19"",""aaGLAssignID"",""1"",""contract"",""3420 FIA 54 UT 2025 5101"""</f>
        <v>"GP","Ute Indian Tribe Membership Fund","aaa_contract_detail_sp","JRNENTRY","1614978","aaGLHdrID","1782851","aaGLDistID","19","aaGLAssignID","1","contract","3420 FIA 54 UT 2025 5101"</v>
      </c>
      <c r="L115" s="42">
        <v>45855</v>
      </c>
      <c r="M115" s="30">
        <v>1614978</v>
      </c>
      <c r="N115" s="30" t="str">
        <f>""</f>
        <v/>
      </c>
      <c r="O115" s="30" t="str">
        <f>""</f>
        <v/>
      </c>
      <c r="P115" s="30" t="str">
        <f>""</f>
        <v/>
      </c>
      <c r="Q115" s="43" t="str">
        <f>""</f>
        <v/>
      </c>
      <c r="R115" s="44">
        <v>142.5</v>
      </c>
      <c r="S115" s="44">
        <v>0</v>
      </c>
      <c r="T115" s="45">
        <f>SUM(R115:S115)</f>
        <v>142.5</v>
      </c>
    </row>
    <row r="116" spans="1:20" ht="15" x14ac:dyDescent="0.25">
      <c r="A116" s="24" t="s">
        <v>24</v>
      </c>
      <c r="B116" s="40"/>
      <c r="C116" s="40"/>
      <c r="F116" s="40" t="e">
        <f>F115</f>
        <v>#REF!</v>
      </c>
      <c r="G116" s="40" t="e">
        <f>G115</f>
        <v>#REF!</v>
      </c>
      <c r="H116" s="41"/>
      <c r="K116" s="30" t="str">
        <f>"""GP"",""Ute Indian Tribe Membership Fund"",""aaa_contract_detail_sp"",""JRNENTRY"",""1615019"",""aaGLHdrID"",""1782892"",""aaGLDistID"",""18"",""aaGLAssignID"",""1"",""contract"",""3420 FIA 54 UT 2025 5101"""</f>
        <v>"GP","Ute Indian Tribe Membership Fund","aaa_contract_detail_sp","JRNENTRY","1615019","aaGLHdrID","1782892","aaGLDistID","18","aaGLAssignID","1","contract","3420 FIA 54 UT 2025 5101"</v>
      </c>
      <c r="L116" s="42">
        <v>45855</v>
      </c>
      <c r="M116" s="30">
        <v>1615019</v>
      </c>
      <c r="N116" s="30" t="str">
        <f>""</f>
        <v/>
      </c>
      <c r="O116" s="30" t="str">
        <f>""</f>
        <v/>
      </c>
      <c r="P116" s="30" t="str">
        <f>""</f>
        <v/>
      </c>
      <c r="Q116" s="43" t="str">
        <f>""</f>
        <v/>
      </c>
      <c r="R116" s="44">
        <v>162.11000000000001</v>
      </c>
      <c r="S116" s="44">
        <v>0</v>
      </c>
      <c r="T116" s="45">
        <f>SUM(R116:S116)</f>
        <v>162.11000000000001</v>
      </c>
    </row>
    <row r="117" spans="1:20" ht="15" x14ac:dyDescent="0.25">
      <c r="A117" s="24" t="s">
        <v>24</v>
      </c>
      <c r="B117" s="40"/>
      <c r="C117" s="40"/>
      <c r="F117" s="40" t="e">
        <f>F116</f>
        <v>#REF!</v>
      </c>
      <c r="G117" s="40" t="e">
        <f>G116</f>
        <v>#REF!</v>
      </c>
      <c r="H117" s="41"/>
      <c r="K117" s="30" t="str">
        <f>"""GP"",""Ute Indian Tribe Membership Fund"",""aaa_contract_detail_sp"",""JRNENTRY"",""1616765"",""aaGLHdrID"",""1784613"",""aaGLDistID"",""21"",""aaGLAssignID"",""1"",""contract"",""3420 FIA 54 UT 2025 5101"""</f>
        <v>"GP","Ute Indian Tribe Membership Fund","aaa_contract_detail_sp","JRNENTRY","1616765","aaGLHdrID","1784613","aaGLDistID","21","aaGLAssignID","1","contract","3420 FIA 54 UT 2025 5101"</v>
      </c>
      <c r="L117" s="42">
        <v>45869</v>
      </c>
      <c r="M117" s="30">
        <v>1616765</v>
      </c>
      <c r="N117" s="30" t="str">
        <f>""</f>
        <v/>
      </c>
      <c r="O117" s="30" t="str">
        <f>""</f>
        <v/>
      </c>
      <c r="P117" s="30" t="str">
        <f>""</f>
        <v/>
      </c>
      <c r="Q117" s="43" t="str">
        <f>""</f>
        <v/>
      </c>
      <c r="R117" s="44">
        <v>142.5</v>
      </c>
      <c r="S117" s="44">
        <v>0</v>
      </c>
      <c r="T117" s="45">
        <f>SUM(R117:S117)</f>
        <v>142.5</v>
      </c>
    </row>
    <row r="118" spans="1:20" ht="15" x14ac:dyDescent="0.25">
      <c r="A118" s="24" t="s">
        <v>24</v>
      </c>
      <c r="B118" s="40"/>
      <c r="C118" s="40"/>
      <c r="F118" s="40" t="e">
        <f>F117</f>
        <v>#REF!</v>
      </c>
      <c r="G118" s="40" t="e">
        <f>G117</f>
        <v>#REF!</v>
      </c>
      <c r="H118" s="41"/>
      <c r="K118" s="30" t="str">
        <f>"""GP"",""Ute Indian Tribe Membership Fund"",""aaa_contract_detail_sp"",""JRNENTRY"",""1616870"",""aaGLHdrID"",""1784718"",""aaGLDistID"",""19"",""aaGLAssignID"",""1"",""contract"",""3420 FIA 54 UT 2025 5101"""</f>
        <v>"GP","Ute Indian Tribe Membership Fund","aaa_contract_detail_sp","JRNENTRY","1616870","aaGLHdrID","1784718","aaGLDistID","19","aaGLAssignID","1","contract","3420 FIA 54 UT 2025 5101"</v>
      </c>
      <c r="L118" s="42">
        <v>45869</v>
      </c>
      <c r="M118" s="30">
        <v>1616870</v>
      </c>
      <c r="N118" s="30" t="str">
        <f>""</f>
        <v/>
      </c>
      <c r="O118" s="30" t="str">
        <f>""</f>
        <v/>
      </c>
      <c r="P118" s="30" t="str">
        <f>""</f>
        <v/>
      </c>
      <c r="Q118" s="43" t="str">
        <f>""</f>
        <v/>
      </c>
      <c r="R118" s="44">
        <v>128.13</v>
      </c>
      <c r="S118" s="44">
        <v>0</v>
      </c>
      <c r="T118" s="45">
        <f>SUM(R118:S118)</f>
        <v>128.13</v>
      </c>
    </row>
    <row r="119" spans="1:20" ht="15" x14ac:dyDescent="0.25">
      <c r="A119" s="24" t="s">
        <v>24</v>
      </c>
      <c r="B119" s="40"/>
      <c r="C119" s="40"/>
      <c r="F119" s="40" t="e">
        <f>F118</f>
        <v>#REF!</v>
      </c>
      <c r="G119" s="40" t="e">
        <f>G118</f>
        <v>#REF!</v>
      </c>
      <c r="H119" s="41"/>
      <c r="K119" s="30" t="str">
        <f>"""GP"",""Ute Indian Tribe Membership Fund"",""aaa_contract_detail_sp"",""JRNENTRY"",""1616882"",""aaGLHdrID"",""1784730"",""aaGLDistID"",""19"",""aaGLAssignID"",""1"",""contract"",""3420 FIA 54 UT 2025 5101"""</f>
        <v>"GP","Ute Indian Tribe Membership Fund","aaa_contract_detail_sp","JRNENTRY","1616882","aaGLHdrID","1784730","aaGLDistID","19","aaGLAssignID","1","contract","3420 FIA 54 UT 2025 5101"</v>
      </c>
      <c r="L119" s="42">
        <v>45869</v>
      </c>
      <c r="M119" s="30">
        <v>1616882</v>
      </c>
      <c r="N119" s="30" t="str">
        <f>""</f>
        <v/>
      </c>
      <c r="O119" s="30" t="str">
        <f>""</f>
        <v/>
      </c>
      <c r="P119" s="30" t="str">
        <f>""</f>
        <v/>
      </c>
      <c r="Q119" s="43" t="str">
        <f>""</f>
        <v/>
      </c>
      <c r="R119" s="44">
        <v>142.5</v>
      </c>
      <c r="S119" s="44">
        <v>0</v>
      </c>
      <c r="T119" s="45">
        <f>SUM(R119:S119)</f>
        <v>142.5</v>
      </c>
    </row>
    <row r="120" spans="1:20" ht="15" x14ac:dyDescent="0.25">
      <c r="A120" s="24" t="s">
        <v>24</v>
      </c>
      <c r="B120" s="40"/>
      <c r="C120" s="40"/>
      <c r="F120" s="40" t="e">
        <f>F119</f>
        <v>#REF!</v>
      </c>
      <c r="G120" s="40" t="e">
        <f>G119</f>
        <v>#REF!</v>
      </c>
      <c r="H120" s="41"/>
      <c r="K120" s="30" t="str">
        <f>"""GP"",""Ute Indian Tribe Membership Fund"",""aaa_contract_detail_sp"",""JRNENTRY"",""1616929"",""aaGLHdrID"",""1784777"",""aaGLDistID"",""18"",""aaGLAssignID"",""1"",""contract"",""3420 FIA 54 UT 2025 5101"""</f>
        <v>"GP","Ute Indian Tribe Membership Fund","aaa_contract_detail_sp","JRNENTRY","1616929","aaGLHdrID","1784777","aaGLDistID","18","aaGLAssignID","1","contract","3420 FIA 54 UT 2025 5101"</v>
      </c>
      <c r="L120" s="42">
        <v>45869</v>
      </c>
      <c r="M120" s="30">
        <v>1616929</v>
      </c>
      <c r="N120" s="30" t="str">
        <f>""</f>
        <v/>
      </c>
      <c r="O120" s="30" t="str">
        <f>""</f>
        <v/>
      </c>
      <c r="P120" s="30" t="str">
        <f>""</f>
        <v/>
      </c>
      <c r="Q120" s="43" t="str">
        <f>""</f>
        <v/>
      </c>
      <c r="R120" s="44">
        <v>162.11000000000001</v>
      </c>
      <c r="S120" s="44">
        <v>0</v>
      </c>
      <c r="T120" s="45">
        <f>SUM(R120:S120)</f>
        <v>162.11000000000001</v>
      </c>
    </row>
    <row r="121" spans="1:20" ht="15" x14ac:dyDescent="0.25">
      <c r="A121" s="24" t="s">
        <v>24</v>
      </c>
      <c r="B121" s="40"/>
      <c r="C121" s="40"/>
      <c r="F121" s="40" t="e">
        <f>F120</f>
        <v>#REF!</v>
      </c>
      <c r="G121" s="40" t="e">
        <f>G120</f>
        <v>#REF!</v>
      </c>
      <c r="H121" s="41"/>
      <c r="K121" s="30" t="str">
        <f>"""GP"",""Ute Indian Tribe Membership Fund"",""aaa_contract_detail_sp"",""JRNENTRY"",""1619683"",""aaGLHdrID"",""1787827"",""aaGLDistID"",""22"",""aaGLAssignID"",""1"",""contract"",""3420 FIA 54 UT 2025 5101"""</f>
        <v>"GP","Ute Indian Tribe Membership Fund","aaa_contract_detail_sp","JRNENTRY","1619683","aaGLHdrID","1787827","aaGLDistID","22","aaGLAssignID","1","contract","3420 FIA 54 UT 2025 5101"</v>
      </c>
      <c r="L121" s="42">
        <v>45883</v>
      </c>
      <c r="M121" s="30">
        <v>1619683</v>
      </c>
      <c r="N121" s="30" t="str">
        <f>""</f>
        <v/>
      </c>
      <c r="O121" s="30" t="str">
        <f>""</f>
        <v/>
      </c>
      <c r="P121" s="30" t="str">
        <f>""</f>
        <v/>
      </c>
      <c r="Q121" s="43" t="str">
        <f>""</f>
        <v/>
      </c>
      <c r="R121" s="44">
        <v>440.55</v>
      </c>
      <c r="S121" s="44">
        <v>0</v>
      </c>
      <c r="T121" s="45">
        <f>SUM(R121:S121)</f>
        <v>440.55</v>
      </c>
    </row>
    <row r="122" spans="1:20" ht="15" x14ac:dyDescent="0.25">
      <c r="A122" s="24" t="s">
        <v>24</v>
      </c>
      <c r="B122" s="40"/>
      <c r="C122" s="40"/>
      <c r="F122" s="40" t="e">
        <f>F121</f>
        <v>#REF!</v>
      </c>
      <c r="G122" s="40" t="e">
        <f>G121</f>
        <v>#REF!</v>
      </c>
      <c r="H122" s="41"/>
      <c r="K122" s="30" t="str">
        <f>"""GP"",""Ute Indian Tribe Membership Fund"",""aaa_contract_detail_sp"",""JRNENTRY"",""1619790"",""aaGLHdrID"",""1787934"",""aaGLDistID"",""19"",""aaGLAssignID"",""1"",""contract"",""3420 FIA 54 UT 2025 5101"""</f>
        <v>"GP","Ute Indian Tribe Membership Fund","aaa_contract_detail_sp","JRNENTRY","1619790","aaGLHdrID","1787934","aaGLDistID","19","aaGLAssignID","1","contract","3420 FIA 54 UT 2025 5101"</v>
      </c>
      <c r="L122" s="42">
        <v>45883</v>
      </c>
      <c r="M122" s="30">
        <v>1619790</v>
      </c>
      <c r="N122" s="30" t="str">
        <f>""</f>
        <v/>
      </c>
      <c r="O122" s="30" t="str">
        <f>""</f>
        <v/>
      </c>
      <c r="P122" s="30" t="str">
        <f>""</f>
        <v/>
      </c>
      <c r="Q122" s="43" t="str">
        <f>""</f>
        <v/>
      </c>
      <c r="R122" s="44">
        <v>128.13</v>
      </c>
      <c r="S122" s="44">
        <v>0</v>
      </c>
      <c r="T122" s="45">
        <f>SUM(R122:S122)</f>
        <v>128.13</v>
      </c>
    </row>
    <row r="123" spans="1:20" ht="15" x14ac:dyDescent="0.25">
      <c r="A123" s="24" t="s">
        <v>24</v>
      </c>
      <c r="B123" s="40"/>
      <c r="C123" s="40"/>
      <c r="F123" s="40" t="e">
        <f>F122</f>
        <v>#REF!</v>
      </c>
      <c r="G123" s="40" t="e">
        <f>G122</f>
        <v>#REF!</v>
      </c>
      <c r="H123" s="41"/>
      <c r="K123" s="30" t="str">
        <f>"""GP"",""Ute Indian Tribe Membership Fund"",""aaa_contract_detail_sp"",""JRNENTRY"",""1619800"",""aaGLHdrID"",""1787944"",""aaGLDistID"",""19"",""aaGLAssignID"",""1"",""contract"",""3420 FIA 54 UT 2025 5101"""</f>
        <v>"GP","Ute Indian Tribe Membership Fund","aaa_contract_detail_sp","JRNENTRY","1619800","aaGLHdrID","1787944","aaGLDistID","19","aaGLAssignID","1","contract","3420 FIA 54 UT 2025 5101"</v>
      </c>
      <c r="L123" s="42">
        <v>45883</v>
      </c>
      <c r="M123" s="30">
        <v>1619800</v>
      </c>
      <c r="N123" s="30" t="str">
        <f>""</f>
        <v/>
      </c>
      <c r="O123" s="30" t="str">
        <f>""</f>
        <v/>
      </c>
      <c r="P123" s="30" t="str">
        <f>""</f>
        <v/>
      </c>
      <c r="Q123" s="43" t="str">
        <f>""</f>
        <v/>
      </c>
      <c r="R123" s="44">
        <v>142.5</v>
      </c>
      <c r="S123" s="44">
        <v>0</v>
      </c>
      <c r="T123" s="45">
        <f>SUM(R123:S123)</f>
        <v>142.5</v>
      </c>
    </row>
    <row r="124" spans="1:20" ht="15" x14ac:dyDescent="0.25">
      <c r="A124" s="24" t="s">
        <v>24</v>
      </c>
      <c r="B124" s="40"/>
      <c r="C124" s="40"/>
      <c r="F124" s="40" t="e">
        <f>F123</f>
        <v>#REF!</v>
      </c>
      <c r="G124" s="40" t="e">
        <f>G123</f>
        <v>#REF!</v>
      </c>
      <c r="H124" s="41"/>
      <c r="K124" s="30" t="str">
        <f>"""GP"",""Ute Indian Tribe Membership Fund"",""aaa_contract_detail_sp"",""JRNENTRY"",""1619839"",""aaGLHdrID"",""1787983"",""aaGLDistID"",""18"",""aaGLAssignID"",""1"",""contract"",""3420 FIA 54 UT 2025 5101"""</f>
        <v>"GP","Ute Indian Tribe Membership Fund","aaa_contract_detail_sp","JRNENTRY","1619839","aaGLHdrID","1787983","aaGLDistID","18","aaGLAssignID","1","contract","3420 FIA 54 UT 2025 5101"</v>
      </c>
      <c r="L124" s="42">
        <v>45883</v>
      </c>
      <c r="M124" s="30">
        <v>1619839</v>
      </c>
      <c r="N124" s="30" t="str">
        <f>""</f>
        <v/>
      </c>
      <c r="O124" s="30" t="str">
        <f>""</f>
        <v/>
      </c>
      <c r="P124" s="30" t="str">
        <f>""</f>
        <v/>
      </c>
      <c r="Q124" s="43" t="str">
        <f>""</f>
        <v/>
      </c>
      <c r="R124" s="44">
        <v>162.11000000000001</v>
      </c>
      <c r="S124" s="44">
        <v>0</v>
      </c>
      <c r="T124" s="45">
        <f>SUM(R124:S124)</f>
        <v>162.11000000000001</v>
      </c>
    </row>
    <row r="125" spans="1:20" x14ac:dyDescent="0.2">
      <c r="A125" s="24" t="s">
        <v>24</v>
      </c>
      <c r="B125" s="40"/>
      <c r="C125" s="40"/>
      <c r="F125" s="40" t="e">
        <f>#REF!</f>
        <v>#REF!</v>
      </c>
      <c r="G125" s="40" t="e">
        <f>#REF!</f>
        <v>#REF!</v>
      </c>
      <c r="H125" s="41"/>
    </row>
    <row r="126" spans="1:20" x14ac:dyDescent="0.2">
      <c r="A126" s="24" t="s">
        <v>24</v>
      </c>
      <c r="I126" s="53" t="str">
        <f>I108&amp;"   "&amp;J108&amp;"         Total:"</f>
        <v>5021-0-6120-3420   Fringe Benefits - Retirement         Total:</v>
      </c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46">
        <f>SUBTOTAL(9,T109:T125)</f>
        <v>2696.0900000000006</v>
      </c>
    </row>
    <row r="127" spans="1:20" x14ac:dyDescent="0.2">
      <c r="A127" s="24" t="s">
        <v>24</v>
      </c>
    </row>
    <row r="128" spans="1:20" ht="15.75" hidden="1" thickBot="1" x14ac:dyDescent="0.3">
      <c r="A128" s="24" t="s">
        <v>1</v>
      </c>
      <c r="I128" s="52" t="s">
        <v>25</v>
      </c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47" t="e">
        <f>SUBTOTAL(9,#REF!)</f>
        <v>#REF!</v>
      </c>
    </row>
  </sheetData>
  <mergeCells count="7">
    <mergeCell ref="I128:S128"/>
    <mergeCell ref="I7:K7"/>
    <mergeCell ref="I8:M8"/>
    <mergeCell ref="I39:S39"/>
    <mergeCell ref="I84:S84"/>
    <mergeCell ref="I105:S105"/>
    <mergeCell ref="I126:S126"/>
  </mergeCells>
  <pageMargins left="0.75" right="0.75" top="1" bottom="1" header="0.5" footer="0.5"/>
  <pageSetup scale="3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7"/>
  <sheetViews>
    <sheetView showGridLines="0" topLeftCell="H1" zoomScale="80" zoomScaleNormal="80" workbookViewId="0">
      <pane ySplit="15" topLeftCell="A16" activePane="bottomLeft" state="frozen"/>
      <selection pane="bottomLeft" activeCell="H49" sqref="H49"/>
    </sheetView>
  </sheetViews>
  <sheetFormatPr defaultRowHeight="15" x14ac:dyDescent="0.25"/>
  <cols>
    <col min="1" max="1" width="11.85546875" hidden="1" customWidth="1"/>
    <col min="2" max="2" width="17.85546875" hidden="1" customWidth="1"/>
    <col min="3" max="5" width="17.7109375" hidden="1" customWidth="1"/>
    <col min="6" max="6" width="9.140625" hidden="1" customWidth="1"/>
    <col min="7" max="7" width="11.140625" hidden="1" customWidth="1"/>
    <col min="8" max="8" width="2.140625" customWidth="1"/>
    <col min="9" max="9" width="17.42578125" bestFit="1" customWidth="1"/>
    <col min="10" max="10" width="44.140625" bestFit="1" customWidth="1"/>
    <col min="11" max="11" width="22.5703125" hidden="1" customWidth="1"/>
    <col min="12" max="12" width="17.85546875" bestFit="1" customWidth="1"/>
    <col min="13" max="13" width="12.140625" bestFit="1" customWidth="1"/>
    <col min="14" max="14" width="49.28515625" bestFit="1" customWidth="1"/>
    <col min="15" max="15" width="22.42578125" bestFit="1" customWidth="1"/>
    <col min="16" max="16" width="33.42578125" bestFit="1" customWidth="1"/>
    <col min="17" max="17" width="16.42578125" bestFit="1" customWidth="1"/>
    <col min="18" max="18" width="14.85546875" bestFit="1" customWidth="1"/>
    <col min="19" max="19" width="15.85546875" bestFit="1" customWidth="1"/>
    <col min="20" max="20" width="13" bestFit="1" customWidth="1"/>
  </cols>
  <sheetData>
    <row r="1" spans="1:20" s="24" customFormat="1" ht="12.75" hidden="1" x14ac:dyDescent="0.2">
      <c r="A1" s="24" t="s">
        <v>27</v>
      </c>
      <c r="B1" s="25" t="s">
        <v>1</v>
      </c>
      <c r="C1" s="25" t="s">
        <v>1</v>
      </c>
      <c r="D1" s="25" t="s">
        <v>1</v>
      </c>
      <c r="E1" s="25" t="s">
        <v>1</v>
      </c>
      <c r="F1" s="25" t="s">
        <v>1</v>
      </c>
      <c r="G1" s="25" t="s">
        <v>1</v>
      </c>
      <c r="H1" s="25"/>
      <c r="I1" s="24" t="s">
        <v>2</v>
      </c>
      <c r="J1" s="24" t="s">
        <v>2</v>
      </c>
      <c r="K1" s="24" t="s">
        <v>1</v>
      </c>
      <c r="L1" s="24" t="s">
        <v>2</v>
      </c>
      <c r="M1" s="24" t="s">
        <v>2</v>
      </c>
      <c r="N1" s="24" t="s">
        <v>2</v>
      </c>
      <c r="O1" s="24" t="s">
        <v>2</v>
      </c>
      <c r="P1" s="24" t="s">
        <v>2</v>
      </c>
      <c r="Q1" s="24" t="s">
        <v>2</v>
      </c>
      <c r="R1" s="24" t="s">
        <v>2</v>
      </c>
      <c r="S1" s="24" t="s">
        <v>2</v>
      </c>
      <c r="T1" s="24" t="s">
        <v>2</v>
      </c>
    </row>
    <row r="2" spans="1:20" s="24" customFormat="1" hidden="1" x14ac:dyDescent="0.25">
      <c r="A2" s="24" t="s">
        <v>1</v>
      </c>
      <c r="B2" s="24" t="s">
        <v>3</v>
      </c>
      <c r="C2" s="26">
        <f ca="1">DATE(IF(MONTH(TODAY())&gt;=10,YEAR(TODAY()),YEAR(TODAY())-1),10,1)</f>
        <v>45566</v>
      </c>
      <c r="D2" s="27"/>
      <c r="E2" s="27"/>
      <c r="F2" s="27"/>
      <c r="G2" s="27"/>
      <c r="H2" s="27"/>
    </row>
    <row r="3" spans="1:20" s="24" customFormat="1" hidden="1" x14ac:dyDescent="0.25">
      <c r="A3" s="24" t="s">
        <v>1</v>
      </c>
      <c r="B3" s="24" t="s">
        <v>4</v>
      </c>
      <c r="C3" s="26">
        <f ca="1">EOMONTH(TODAY(),0)</f>
        <v>45930</v>
      </c>
      <c r="D3" s="27"/>
      <c r="E3" s="27"/>
      <c r="F3" s="27"/>
      <c r="G3" s="27"/>
      <c r="H3" s="27"/>
    </row>
    <row r="4" spans="1:20" s="24" customFormat="1" ht="12.75" hidden="1" x14ac:dyDescent="0.2">
      <c r="A4" s="25" t="s">
        <v>1</v>
      </c>
      <c r="B4" s="24" t="s">
        <v>5</v>
      </c>
      <c r="C4" s="28" t="str">
        <f>DateFilter</f>
        <v>..9/30/2020</v>
      </c>
      <c r="D4" s="28"/>
      <c r="E4" s="28"/>
      <c r="F4" s="28"/>
      <c r="G4" s="28"/>
      <c r="H4" s="28"/>
    </row>
    <row r="5" spans="1:20" s="24" customFormat="1" ht="12.75" x14ac:dyDescent="0.2">
      <c r="A5" s="25"/>
      <c r="B5" s="24" t="s">
        <v>28</v>
      </c>
      <c r="C5" s="28" t="str">
        <f>Grant</f>
        <v>343 FIA UT 5101</v>
      </c>
      <c r="D5" s="28"/>
      <c r="E5" s="28"/>
      <c r="F5" s="28"/>
      <c r="G5" s="28"/>
      <c r="H5" s="28"/>
    </row>
    <row r="6" spans="1:20" x14ac:dyDescent="0.25">
      <c r="A6" s="24"/>
      <c r="B6" s="24" t="s">
        <v>29</v>
      </c>
      <c r="C6" s="28" t="str">
        <f>Grant</f>
        <v>343 FIA UT 5101</v>
      </c>
      <c r="D6" s="28"/>
      <c r="E6" s="28"/>
      <c r="F6" s="24"/>
      <c r="G6" s="24"/>
      <c r="H6" s="29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spans="1:20" ht="23.25" x14ac:dyDescent="0.35">
      <c r="A7" s="24"/>
      <c r="B7" s="24" t="s">
        <v>7</v>
      </c>
      <c r="C7" s="28"/>
      <c r="D7" s="28"/>
      <c r="E7" s="28"/>
      <c r="F7" s="24"/>
      <c r="G7" s="24"/>
      <c r="H7" s="29"/>
      <c r="I7" s="54" t="s">
        <v>32</v>
      </c>
      <c r="J7" s="54"/>
      <c r="K7" s="54"/>
      <c r="L7" s="30"/>
      <c r="M7" s="30"/>
      <c r="N7" s="30"/>
      <c r="O7" s="30"/>
      <c r="P7" s="30"/>
      <c r="Q7" s="30"/>
      <c r="R7" s="30"/>
      <c r="S7" s="30"/>
      <c r="T7" s="30"/>
    </row>
    <row r="8" spans="1:20" x14ac:dyDescent="0.25">
      <c r="A8" s="24"/>
      <c r="B8" s="24" t="s">
        <v>9</v>
      </c>
      <c r="C8" s="28"/>
      <c r="D8" s="28"/>
      <c r="E8" s="28"/>
      <c r="F8" s="24"/>
      <c r="G8" s="24"/>
      <c r="H8" s="29"/>
      <c r="I8" s="55" t="str">
        <f ca="1">"For the Period of "&amp;TEXT($C$2,"MMMM D, YYYY")&amp;" through "&amp;TEXT($C$3,"MMMM D, YYYY")</f>
        <v>For the Period of October 1, 2024 through September 30, 2025</v>
      </c>
      <c r="J8" s="55"/>
      <c r="K8" s="55"/>
      <c r="L8" s="55"/>
      <c r="M8" s="55"/>
      <c r="N8" s="30"/>
      <c r="O8" s="30"/>
      <c r="P8" s="30"/>
      <c r="Q8" s="30"/>
      <c r="R8" s="30"/>
      <c r="S8" s="30"/>
      <c r="T8" s="30"/>
    </row>
    <row r="9" spans="1:20" x14ac:dyDescent="0.25">
      <c r="A9" s="24"/>
      <c r="B9" s="24" t="s">
        <v>10</v>
      </c>
      <c r="C9" s="31" t="str">
        <f ca="1">YEAR($C$2)&amp;"/0"</f>
        <v>2024/0</v>
      </c>
      <c r="D9" s="28"/>
      <c r="E9" s="28"/>
      <c r="F9" s="24"/>
      <c r="G9" s="24"/>
      <c r="H9" s="29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spans="1:20" x14ac:dyDescent="0.25">
      <c r="A10" s="24"/>
      <c r="B10" s="24" t="s">
        <v>11</v>
      </c>
      <c r="C10" s="24"/>
      <c r="D10" s="31"/>
      <c r="E10" s="31"/>
      <c r="F10" s="24"/>
      <c r="G10" s="24"/>
      <c r="H10" s="29"/>
      <c r="I10" s="30" t="str">
        <f>B6</f>
        <v>Contract</v>
      </c>
      <c r="J10" s="32" t="str">
        <f>C6</f>
        <v>343 FIA UT 5101</v>
      </c>
      <c r="K10" s="33"/>
      <c r="L10" s="32"/>
      <c r="M10" s="30"/>
      <c r="N10" s="30"/>
      <c r="O10" s="30"/>
      <c r="P10" s="30"/>
      <c r="Q10" s="30"/>
      <c r="R10" s="30"/>
      <c r="S10" s="30"/>
      <c r="T10" s="30"/>
    </row>
    <row r="11" spans="1:20" x14ac:dyDescent="0.25">
      <c r="A11" s="24"/>
      <c r="B11" s="24"/>
      <c r="C11" s="24"/>
      <c r="D11" s="24"/>
      <c r="E11" s="24"/>
      <c r="F11" s="24"/>
      <c r="G11" s="24"/>
      <c r="H11" s="29"/>
      <c r="I11" s="30" t="str">
        <f>B7</f>
        <v>Location</v>
      </c>
      <c r="J11" s="32"/>
      <c r="K11" s="30"/>
      <c r="L11" s="34"/>
      <c r="M11" s="30"/>
      <c r="N11" s="30"/>
      <c r="O11" s="30"/>
      <c r="P11" s="30"/>
      <c r="Q11" s="30"/>
      <c r="R11" s="30"/>
      <c r="S11" s="30"/>
      <c r="T11" s="30"/>
    </row>
    <row r="12" spans="1:20" x14ac:dyDescent="0.25">
      <c r="A12" s="24"/>
      <c r="B12" s="24"/>
      <c r="C12" s="24"/>
      <c r="D12" s="24"/>
      <c r="E12" s="24"/>
      <c r="F12" s="24"/>
      <c r="G12" s="24"/>
      <c r="H12" s="29"/>
      <c r="I12" s="30" t="str">
        <f>B8</f>
        <v>Company</v>
      </c>
      <c r="J12" s="32"/>
      <c r="K12" s="30"/>
      <c r="L12" s="30"/>
      <c r="M12" s="30"/>
      <c r="N12" s="30"/>
      <c r="O12" s="30"/>
      <c r="P12" s="30"/>
      <c r="Q12" s="30"/>
      <c r="R12" s="35" t="s">
        <v>12</v>
      </c>
      <c r="S12" s="36">
        <v>45885</v>
      </c>
      <c r="T12" s="30"/>
    </row>
    <row r="15" spans="1:20" x14ac:dyDescent="0.25">
      <c r="A15" s="24"/>
      <c r="B15" s="24"/>
      <c r="C15" s="24"/>
      <c r="D15" s="24"/>
      <c r="E15" s="24"/>
      <c r="F15" s="24"/>
      <c r="G15" s="24"/>
      <c r="H15" s="29"/>
      <c r="I15" s="37" t="s">
        <v>13</v>
      </c>
      <c r="J15" s="37" t="s">
        <v>14</v>
      </c>
      <c r="K15" s="37"/>
      <c r="L15" s="37" t="s">
        <v>15</v>
      </c>
      <c r="M15" s="37" t="s">
        <v>16</v>
      </c>
      <c r="N15" s="37" t="s">
        <v>17</v>
      </c>
      <c r="O15" s="37" t="s">
        <v>18</v>
      </c>
      <c r="P15" s="37" t="s">
        <v>19</v>
      </c>
      <c r="Q15" s="37" t="s">
        <v>30</v>
      </c>
      <c r="R15" s="37" t="s">
        <v>21</v>
      </c>
      <c r="S15" s="37" t="s">
        <v>22</v>
      </c>
      <c r="T15" s="37" t="s">
        <v>23</v>
      </c>
    </row>
    <row r="18" spans="1:20" s="30" customFormat="1" ht="12.75" x14ac:dyDescent="0.2">
      <c r="A18" s="24" t="s">
        <v>24</v>
      </c>
      <c r="B18" s="24"/>
      <c r="C18" s="24"/>
      <c r="D18" s="24"/>
      <c r="E18" s="24"/>
      <c r="F18" s="24" t="str">
        <f>"5021-0-6000-3430"</f>
        <v>5021-0-6000-3430</v>
      </c>
      <c r="G18" s="24" t="str">
        <f>"5021-0-6000-3430"</f>
        <v>5021-0-6000-3430</v>
      </c>
      <c r="H18" s="29"/>
      <c r="I18" s="38" t="str">
        <f>G18</f>
        <v>5021-0-6000-3430</v>
      </c>
      <c r="J18" s="38" t="str">
        <f>"Professional and Technical Services"</f>
        <v>Professional and Technical Services</v>
      </c>
      <c r="Q18" s="38"/>
      <c r="R18" s="39"/>
    </row>
    <row r="19" spans="1:20" s="30" customFormat="1" x14ac:dyDescent="0.25">
      <c r="A19" s="24" t="s">
        <v>24</v>
      </c>
      <c r="B19" s="40"/>
      <c r="C19" s="40"/>
      <c r="D19" s="24"/>
      <c r="E19" s="24"/>
      <c r="F19" s="40" t="e">
        <f>#REF!</f>
        <v>#REF!</v>
      </c>
      <c r="G19" s="40" t="e">
        <f>#REF!</f>
        <v>#REF!</v>
      </c>
      <c r="H19" s="41"/>
      <c r="K19" s="30" t="str">
        <f>"""GP"",""Ute Indian Tribe Membership Fund"",""aaa_contract_detail_sp"",""JRNENTRY"",""1617527"",""aaGLHdrID"",""1785633"",""aaGLDistID"",""2"",""aaGLAssignID"",""1"",""contract"",""343 FIA UT 5101"""</f>
        <v>"GP","Ute Indian Tribe Membership Fund","aaa_contract_detail_sp","JRNENTRY","1617527","aaGLHdrID","1785633","aaGLDistID","2","aaGLAssignID","1","contract","343 FIA UT 5101"</v>
      </c>
      <c r="L19" s="42">
        <v>45861</v>
      </c>
      <c r="M19" s="30">
        <v>1617527</v>
      </c>
      <c r="N19" s="30" t="str">
        <f>"NORTHEASTERN UTAH EDUCATIONAL SERVICES"</f>
        <v>NORTHEASTERN UTAH EDUCATIONAL SERVICES</v>
      </c>
      <c r="O19" s="30" t="str">
        <f>"15511"</f>
        <v>15511</v>
      </c>
      <c r="P19" s="30" t="str">
        <f>"Learning licenses"</f>
        <v>Learning licenses</v>
      </c>
      <c r="Q19" s="43" t="str">
        <f>"00000000465724"</f>
        <v>00000000465724</v>
      </c>
      <c r="R19" s="44">
        <v>9087</v>
      </c>
      <c r="S19" s="44">
        <v>0</v>
      </c>
      <c r="T19" s="45">
        <f t="shared" ref="T19:T22" si="0">SUM(R19:S19)</f>
        <v>9087</v>
      </c>
    </row>
    <row r="20" spans="1:20" s="30" customFormat="1" x14ac:dyDescent="0.25">
      <c r="A20" s="24" t="s">
        <v>24</v>
      </c>
      <c r="B20" s="40"/>
      <c r="C20" s="40"/>
      <c r="D20" s="24"/>
      <c r="E20" s="24"/>
      <c r="F20" s="40" t="e">
        <f t="shared" ref="F20:G22" si="1">F19</f>
        <v>#REF!</v>
      </c>
      <c r="G20" s="40" t="e">
        <f t="shared" si="1"/>
        <v>#REF!</v>
      </c>
      <c r="H20" s="41"/>
      <c r="K20" s="30" t="str">
        <f>"""GP"",""Ute Indian Tribe Membership Fund"",""aaa_contract_detail_sp"",""JRNENTRY"",""1617528"",""aaGLHdrID"",""1785634"",""aaGLDistID"",""2"",""aaGLAssignID"",""1"",""contract"",""343 FIA UT 5101"""</f>
        <v>"GP","Ute Indian Tribe Membership Fund","aaa_contract_detail_sp","JRNENTRY","1617528","aaGLHdrID","1785634","aaGLDistID","2","aaGLAssignID","1","contract","343 FIA UT 5101"</v>
      </c>
      <c r="L20" s="42">
        <v>45866</v>
      </c>
      <c r="M20" s="30">
        <v>1617528</v>
      </c>
      <c r="N20" s="30" t="str">
        <f>"NORTHEASTERN UTAH EDUCATIONAL SERVICES"</f>
        <v>NORTHEASTERN UTAH EDUCATIONAL SERVICES</v>
      </c>
      <c r="O20" s="30" t="str">
        <f>"15527"</f>
        <v>15527</v>
      </c>
      <c r="P20" s="30" t="str">
        <f>"FY26 Fees"</f>
        <v>FY26 Fees</v>
      </c>
      <c r="Q20" s="43" t="str">
        <f>"00000000465724"</f>
        <v>00000000465724</v>
      </c>
      <c r="R20" s="44">
        <v>3399.47</v>
      </c>
      <c r="S20" s="44">
        <v>0</v>
      </c>
      <c r="T20" s="45">
        <f t="shared" si="0"/>
        <v>3399.47</v>
      </c>
    </row>
    <row r="21" spans="1:20" s="30" customFormat="1" x14ac:dyDescent="0.25">
      <c r="A21" s="24" t="s">
        <v>24</v>
      </c>
      <c r="B21" s="40"/>
      <c r="C21" s="40"/>
      <c r="D21" s="24"/>
      <c r="E21" s="24"/>
      <c r="F21" s="40" t="e">
        <f t="shared" si="1"/>
        <v>#REF!</v>
      </c>
      <c r="G21" s="40" t="e">
        <f t="shared" si="1"/>
        <v>#REF!</v>
      </c>
      <c r="H21" s="41"/>
      <c r="K21" s="30" t="str">
        <f>"""GP"",""Ute Indian Tribe Membership Fund"",""aaa_contract_detail_sp"",""JRNENTRY"",""1619225"",""aaGLHdrID"",""1787113"",""aaGLDistID"",""2"",""aaGLAssignID"",""1"",""contract"",""343 FIA UT 5101"""</f>
        <v>"GP","Ute Indian Tribe Membership Fund","aaa_contract_detail_sp","JRNENTRY","1619225","aaGLHdrID","1787113","aaGLDistID","2","aaGLAssignID","1","contract","343 FIA UT 5101"</v>
      </c>
      <c r="L21" s="42">
        <v>45868</v>
      </c>
      <c r="M21" s="30">
        <v>1619225</v>
      </c>
      <c r="N21" s="30" t="str">
        <f>"NORTHEASTERN UTAH EDUCATIONAL SERVICES"</f>
        <v>NORTHEASTERN UTAH EDUCATIONAL SERVICES</v>
      </c>
      <c r="O21" s="30" t="str">
        <f>"15565"</f>
        <v>15565</v>
      </c>
      <c r="P21" s="30" t="str">
        <f>"Discrepancy Analysis tool"</f>
        <v>Discrepancy Analysis tool</v>
      </c>
      <c r="Q21" s="43" t="str">
        <f>"00000000466030"</f>
        <v>00000000466030</v>
      </c>
      <c r="R21" s="44">
        <v>500</v>
      </c>
      <c r="S21" s="44">
        <v>0</v>
      </c>
      <c r="T21" s="45">
        <f t="shared" si="0"/>
        <v>500</v>
      </c>
    </row>
    <row r="22" spans="1:20" s="30" customFormat="1" x14ac:dyDescent="0.25">
      <c r="A22" s="24" t="s">
        <v>24</v>
      </c>
      <c r="B22" s="40"/>
      <c r="C22" s="40"/>
      <c r="D22" s="24"/>
      <c r="E22" s="24"/>
      <c r="F22" s="40" t="e">
        <f t="shared" si="1"/>
        <v>#REF!</v>
      </c>
      <c r="G22" s="40" t="e">
        <f t="shared" si="1"/>
        <v>#REF!</v>
      </c>
      <c r="H22" s="41"/>
      <c r="K22" s="30" t="str">
        <f>"""GP"",""Ute Indian Tribe Membership Fund"",""aaa_contract_detail_sp"",""JRNENTRY"",""1619292"",""aaGLHdrID"",""1787180"",""aaGLDistID"",""2"",""aaGLAssignID"",""1"",""contract"",""343 FIA UT 5101"""</f>
        <v>"GP","Ute Indian Tribe Membership Fund","aaa_contract_detail_sp","JRNENTRY","1619292","aaGLHdrID","1787180","aaGLDistID","2","aaGLAssignID","1","contract","343 FIA UT 5101"</v>
      </c>
      <c r="L22" s="42">
        <v>45874</v>
      </c>
      <c r="M22" s="30">
        <v>1619292</v>
      </c>
      <c r="N22" s="30" t="str">
        <f>"UTAH ASSOCIATION OF PUBLIC CHARTER SCHOOLS"</f>
        <v>UTAH ASSOCIATION OF PUBLIC CHARTER SCHOOLS</v>
      </c>
      <c r="O22" s="30" t="str">
        <f>"2025-138"</f>
        <v>2025-138</v>
      </c>
      <c r="P22" s="30" t="str">
        <f>"Membership dues"</f>
        <v>Membership dues</v>
      </c>
      <c r="Q22" s="43" t="str">
        <f>"00000000466047"</f>
        <v>00000000466047</v>
      </c>
      <c r="R22" s="44">
        <v>656</v>
      </c>
      <c r="S22" s="44">
        <v>0</v>
      </c>
      <c r="T22" s="45">
        <f t="shared" si="0"/>
        <v>656</v>
      </c>
    </row>
    <row r="23" spans="1:20" s="30" customFormat="1" x14ac:dyDescent="0.25">
      <c r="A23" s="24" t="s">
        <v>24</v>
      </c>
      <c r="B23" s="40"/>
      <c r="C23" s="40"/>
      <c r="D23" s="24"/>
      <c r="E23" s="24"/>
      <c r="F23" s="40" t="e">
        <f>#REF!</f>
        <v>#REF!</v>
      </c>
      <c r="G23" s="40" t="e">
        <f>#REF!</f>
        <v>#REF!</v>
      </c>
      <c r="H23" s="41"/>
    </row>
    <row r="24" spans="1:20" s="30" customFormat="1" ht="12.75" x14ac:dyDescent="0.2">
      <c r="A24" s="24" t="s">
        <v>24</v>
      </c>
      <c r="B24" s="24"/>
      <c r="C24" s="24"/>
      <c r="D24" s="24"/>
      <c r="E24" s="24"/>
      <c r="F24" s="24"/>
      <c r="G24" s="24"/>
      <c r="H24" s="29"/>
      <c r="I24" s="53" t="str">
        <f>I18&amp;"   "&amp;J18&amp;"         Total:"</f>
        <v>5021-0-6000-3430   Professional and Technical Services         Total:</v>
      </c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46">
        <f>SUBTOTAL(9,T19:T23)</f>
        <v>13642.47</v>
      </c>
    </row>
    <row r="25" spans="1:20" s="30" customFormat="1" ht="12.75" x14ac:dyDescent="0.2">
      <c r="A25" s="24" t="s">
        <v>24</v>
      </c>
      <c r="B25" s="24"/>
      <c r="C25" s="24"/>
      <c r="D25" s="24"/>
      <c r="E25" s="24"/>
      <c r="F25" s="24"/>
      <c r="G25" s="24"/>
      <c r="H25" s="29"/>
    </row>
    <row r="26" spans="1:20" s="30" customFormat="1" x14ac:dyDescent="0.25">
      <c r="A26" s="24" t="s">
        <v>24</v>
      </c>
      <c r="B26" s="24"/>
      <c r="C26" s="24"/>
      <c r="D26" s="24"/>
      <c r="E26" s="24"/>
      <c r="F26" s="24"/>
      <c r="G26" s="24"/>
      <c r="H26" s="29"/>
    </row>
    <row r="27" spans="1:20" s="30" customFormat="1" ht="12.75" x14ac:dyDescent="0.2">
      <c r="A27" s="24" t="s">
        <v>24</v>
      </c>
      <c r="B27" s="24"/>
      <c r="C27" s="24"/>
      <c r="D27" s="24"/>
      <c r="E27" s="24"/>
      <c r="F27" s="24" t="str">
        <f>"5021-0-6150-3430"</f>
        <v>5021-0-6150-3430</v>
      </c>
      <c r="G27" s="24" t="str">
        <f>"5021-0-6150-3430"</f>
        <v>5021-0-6150-3430</v>
      </c>
      <c r="H27" s="29"/>
      <c r="I27" s="38" t="str">
        <f>G27</f>
        <v>5021-0-6150-3430</v>
      </c>
      <c r="J27" s="38" t="str">
        <f>"Travel"</f>
        <v>Travel</v>
      </c>
      <c r="Q27" s="38"/>
      <c r="R27" s="39"/>
    </row>
    <row r="28" spans="1:20" s="30" customFormat="1" x14ac:dyDescent="0.25">
      <c r="A28" s="24" t="s">
        <v>24</v>
      </c>
      <c r="B28" s="40"/>
      <c r="C28" s="40"/>
      <c r="D28" s="24"/>
      <c r="E28" s="24"/>
      <c r="F28" s="40" t="e">
        <f>#REF!</f>
        <v>#REF!</v>
      </c>
      <c r="G28" s="40" t="e">
        <f>#REF!</f>
        <v>#REF!</v>
      </c>
      <c r="H28" s="41"/>
      <c r="K28" s="30" t="str">
        <f>"""GP"",""Ute Indian Tribe Membership Fund"",""aaa_contract_detail_sp"",""JRNENTRY"",""1615515"",""aaGLHdrID"",""1783323"",""aaGLDistID"",""1"",""aaGLAssignID"",""1"",""contract"",""343 FIA UT 5101"""</f>
        <v>"GP","Ute Indian Tribe Membership Fund","aaa_contract_detail_sp","JRNENTRY","1615515","aaGLHdrID","1783323","aaGLDistID","1","aaGLAssignID","1","contract","343 FIA UT 5101"</v>
      </c>
      <c r="L28" s="42">
        <v>45859</v>
      </c>
      <c r="M28" s="30">
        <v>1615515</v>
      </c>
      <c r="N28" s="30" t="str">
        <f>"Brittany A. Luck"</f>
        <v>Brittany A. Luck</v>
      </c>
      <c r="O28" s="30" t="str">
        <f>"TA0833/2025"</f>
        <v>TA0833/2025</v>
      </c>
      <c r="P28" s="30" t="str">
        <f>"Lehi,UT 8/4/2025"</f>
        <v>Lehi,UT 8/4/2025</v>
      </c>
      <c r="Q28" s="43" t="str">
        <f>"00000000465255"</f>
        <v>00000000465255</v>
      </c>
      <c r="R28" s="44">
        <v>419.62</v>
      </c>
      <c r="S28" s="44">
        <v>0</v>
      </c>
      <c r="T28" s="45">
        <f t="shared" ref="T28:T29" si="2">SUM(R28:S28)</f>
        <v>419.62</v>
      </c>
    </row>
    <row r="29" spans="1:20" s="30" customFormat="1" x14ac:dyDescent="0.25">
      <c r="A29" s="24" t="s">
        <v>24</v>
      </c>
      <c r="B29" s="40"/>
      <c r="C29" s="40"/>
      <c r="D29" s="24"/>
      <c r="E29" s="24"/>
      <c r="F29" s="40" t="e">
        <f t="shared" ref="F29:G44" si="3">F28</f>
        <v>#REF!</v>
      </c>
      <c r="G29" s="40" t="e">
        <f t="shared" si="3"/>
        <v>#REF!</v>
      </c>
      <c r="H29" s="41"/>
      <c r="K29" s="30" t="str">
        <f>"""GP"",""Ute Indian Tribe Membership Fund"",""aaa_contract_detail_sp"",""JRNENTRY"",""1616082"",""aaGLHdrID"",""1783958"",""aaGLDistID"",""1"",""aaGLAssignID"",""1"",""contract"",""343 FIA UT 5101"""</f>
        <v>"GP","Ute Indian Tribe Membership Fund","aaa_contract_detail_sp","JRNENTRY","1616082","aaGLHdrID","1783958","aaGLDistID","1","aaGLAssignID","1","contract","343 FIA UT 5101"</v>
      </c>
      <c r="L29" s="42">
        <v>45861</v>
      </c>
      <c r="M29" s="30">
        <v>1616082</v>
      </c>
      <c r="N29" s="30" t="str">
        <f>"Brittany A. Luck"</f>
        <v>Brittany A. Luck</v>
      </c>
      <c r="O29" s="30" t="str">
        <f>"TA0791/2025"</f>
        <v>TA0791/2025</v>
      </c>
      <c r="P29" s="30" t="str">
        <f>"HEBER UT 8/08/2025"</f>
        <v>HEBER UT 8/08/2025</v>
      </c>
      <c r="Q29" s="43" t="str">
        <f>"00000000465373"</f>
        <v>00000000465373</v>
      </c>
      <c r="R29" s="44">
        <v>199.4</v>
      </c>
      <c r="S29" s="44">
        <v>0</v>
      </c>
      <c r="T29" s="45">
        <f t="shared" si="2"/>
        <v>199.4</v>
      </c>
    </row>
    <row r="30" spans="1:20" s="30" customFormat="1" x14ac:dyDescent="0.25">
      <c r="A30" s="24" t="s">
        <v>24</v>
      </c>
      <c r="B30" s="40"/>
      <c r="C30" s="40"/>
      <c r="D30" s="24"/>
      <c r="E30" s="24"/>
      <c r="F30" s="40" t="e">
        <f t="shared" si="3"/>
        <v>#REF!</v>
      </c>
      <c r="G30" s="40" t="e">
        <f t="shared" si="3"/>
        <v>#REF!</v>
      </c>
      <c r="H30" s="41"/>
      <c r="K30" s="30" t="str">
        <f>"""GP"",""Ute Indian Tribe Membership Fund"",""aaa_contract_detail_sp"",""JRNENTRY"",""1618850"",""aaGLHdrID"",""1786632"",""aaGLDistID"",""1"",""aaGLAssignID"",""1"",""contract"",""343 FIA UT 5101"""</f>
        <v>"GP","Ute Indian Tribe Membership Fund","aaa_contract_detail_sp","JRNENTRY","1618850","aaGLHdrID","1786632","aaGLDistID","1","aaGLAssignID","1","contract","343 FIA UT 5101"</v>
      </c>
      <c r="L30" s="42">
        <v>45876</v>
      </c>
      <c r="M30" s="30">
        <v>1618850</v>
      </c>
      <c r="N30" s="30" t="str">
        <f>"Brittany A. Luck"</f>
        <v>Brittany A. Luck</v>
      </c>
      <c r="O30" s="30" t="str">
        <f>"TA0871/2025"</f>
        <v>TA0871/2025</v>
      </c>
      <c r="P30" s="30" t="str">
        <f>"SaltLakeCity,UT 8/13-14/2025"</f>
        <v>SaltLakeCity,UT 8/13-14/2025</v>
      </c>
      <c r="Q30" s="43" t="str">
        <f>"00000000465938"</f>
        <v>00000000465938</v>
      </c>
      <c r="R30" s="44">
        <v>262</v>
      </c>
      <c r="S30" s="44">
        <v>0</v>
      </c>
      <c r="T30" s="45">
        <f t="shared" ref="T30:T44" si="4">SUM(R30:S30)</f>
        <v>262</v>
      </c>
    </row>
    <row r="31" spans="1:20" s="30" customFormat="1" x14ac:dyDescent="0.25">
      <c r="A31" s="24" t="s">
        <v>24</v>
      </c>
      <c r="B31" s="40"/>
      <c r="C31" s="40"/>
      <c r="D31" s="24"/>
      <c r="E31" s="24"/>
      <c r="F31" s="40" t="e">
        <f t="shared" si="3"/>
        <v>#REF!</v>
      </c>
      <c r="G31" s="40" t="e">
        <f t="shared" si="3"/>
        <v>#REF!</v>
      </c>
      <c r="H31" s="41"/>
      <c r="K31" s="30" t="str">
        <f>"""GP"",""Ute Indian Tribe Membership Fund"",""aaa_contract_detail_sp"",""JRNENTRY"",""1618851"",""aaGLHdrID"",""1786633"",""aaGLDistID"",""1"",""aaGLAssignID"",""1"",""contract"",""343 FIA UT 5101"""</f>
        <v>"GP","Ute Indian Tribe Membership Fund","aaa_contract_detail_sp","JRNENTRY","1618851","aaGLHdrID","1786633","aaGLDistID","1","aaGLAssignID","1","contract","343 FIA UT 5101"</v>
      </c>
      <c r="L31" s="42">
        <v>45876</v>
      </c>
      <c r="M31" s="30">
        <v>1618851</v>
      </c>
      <c r="N31" s="30" t="str">
        <f>"Megan Earl"</f>
        <v>Megan Earl</v>
      </c>
      <c r="O31" s="30" t="str">
        <f>"TA0872/2025"</f>
        <v>TA0872/2025</v>
      </c>
      <c r="P31" s="30" t="str">
        <f>"SaltLakeCity,UT 8/13-14/2025"</f>
        <v>SaltLakeCity,UT 8/13-14/2025</v>
      </c>
      <c r="Q31" s="43" t="str">
        <f>"00000000465935"</f>
        <v>00000000465935</v>
      </c>
      <c r="R31" s="44">
        <v>262</v>
      </c>
      <c r="S31" s="44">
        <v>0</v>
      </c>
      <c r="T31" s="45">
        <f t="shared" si="4"/>
        <v>262</v>
      </c>
    </row>
    <row r="32" spans="1:20" s="30" customFormat="1" x14ac:dyDescent="0.25">
      <c r="A32" s="24" t="s">
        <v>24</v>
      </c>
      <c r="B32" s="40"/>
      <c r="C32" s="40"/>
      <c r="D32" s="24"/>
      <c r="E32" s="24"/>
      <c r="F32" s="40" t="e">
        <f t="shared" si="3"/>
        <v>#REF!</v>
      </c>
      <c r="G32" s="40" t="e">
        <f t="shared" si="3"/>
        <v>#REF!</v>
      </c>
      <c r="H32" s="41"/>
      <c r="K32" s="30" t="str">
        <f>"""GP"",""Ute Indian Tribe Membership Fund"",""aaa_contract_detail_sp"",""JRNENTRY"",""1618852"",""aaGLHdrID"",""1786634"",""aaGLDistID"",""1"",""aaGLAssignID"",""1"",""contract"",""343 FIA UT 5101"""</f>
        <v>"GP","Ute Indian Tribe Membership Fund","aaa_contract_detail_sp","JRNENTRY","1618852","aaGLHdrID","1786634","aaGLDistID","1","aaGLAssignID","1","contract","343 FIA UT 5101"</v>
      </c>
      <c r="L32" s="42">
        <v>45876</v>
      </c>
      <c r="M32" s="30">
        <v>1618852</v>
      </c>
      <c r="N32" s="30" t="str">
        <f>"FITCHETTE, LORI"</f>
        <v>FITCHETTE, LORI</v>
      </c>
      <c r="O32" s="30" t="str">
        <f>"TA0873/2025"</f>
        <v>TA0873/2025</v>
      </c>
      <c r="P32" s="30" t="str">
        <f>"SaltLakeCity,UT 8/13-14/2025"</f>
        <v>SaltLakeCity,UT 8/13-14/2025</v>
      </c>
      <c r="Q32" s="43" t="str">
        <f>"00000000465936"</f>
        <v>00000000465936</v>
      </c>
      <c r="R32" s="44">
        <v>262</v>
      </c>
      <c r="S32" s="44">
        <v>0</v>
      </c>
      <c r="T32" s="45">
        <f t="shared" si="4"/>
        <v>262</v>
      </c>
    </row>
    <row r="33" spans="1:20" s="30" customFormat="1" x14ac:dyDescent="0.25">
      <c r="A33" s="24" t="s">
        <v>24</v>
      </c>
      <c r="B33" s="40"/>
      <c r="C33" s="40"/>
      <c r="D33" s="24"/>
      <c r="E33" s="24"/>
      <c r="F33" s="40" t="e">
        <f t="shared" si="3"/>
        <v>#REF!</v>
      </c>
      <c r="G33" s="40" t="e">
        <f t="shared" si="3"/>
        <v>#REF!</v>
      </c>
      <c r="H33" s="41"/>
      <c r="K33" s="30" t="str">
        <f>"""GP"",""Ute Indian Tribe Membership Fund"",""aaa_contract_detail_sp"",""JRNENTRY"",""1619987"",""aaGLHdrID"",""1787386"",""aaGLDistID"",""1"",""aaGLAssignID"",""1"",""contract"",""343 FIA UT 5101"""</f>
        <v>"GP","Ute Indian Tribe Membership Fund","aaa_contract_detail_sp","JRNENTRY","1619987","aaGLHdrID","1787386","aaGLDistID","1","aaGLAssignID","1","contract","343 FIA UT 5101"</v>
      </c>
      <c r="L33" s="42">
        <v>45882</v>
      </c>
      <c r="M33" s="30">
        <v>1619987</v>
      </c>
      <c r="N33" s="30" t="str">
        <f>"EMILY FITCHETTE"</f>
        <v>EMILY FITCHETTE</v>
      </c>
      <c r="O33" s="30" t="str">
        <f>"TA0885/2025"</f>
        <v>TA0885/2025</v>
      </c>
      <c r="P33" s="30" t="str">
        <f>"SALT LAKE CITY UT 9/29-30/2025"</f>
        <v>SALT LAKE CITY UT 9/29-30/2025</v>
      </c>
      <c r="Q33" s="43" t="str">
        <f>"00000000466102"</f>
        <v>00000000466102</v>
      </c>
      <c r="R33" s="44">
        <v>120</v>
      </c>
      <c r="S33" s="44">
        <v>0</v>
      </c>
      <c r="T33" s="45">
        <f t="shared" si="4"/>
        <v>120</v>
      </c>
    </row>
    <row r="34" spans="1:20" s="30" customFormat="1" x14ac:dyDescent="0.25">
      <c r="A34" s="24" t="s">
        <v>24</v>
      </c>
      <c r="B34" s="40"/>
      <c r="C34" s="40"/>
      <c r="D34" s="24"/>
      <c r="E34" s="24"/>
      <c r="F34" s="40" t="e">
        <f t="shared" si="3"/>
        <v>#REF!</v>
      </c>
      <c r="G34" s="40" t="e">
        <f t="shared" si="3"/>
        <v>#REF!</v>
      </c>
      <c r="H34" s="41"/>
      <c r="K34" s="30" t="str">
        <f>"""GP"",""Ute Indian Tribe Membership Fund"",""aaa_contract_detail_sp"",""JRNENTRY"",""1619988"",""aaGLHdrID"",""1787387"",""aaGLDistID"",""1"",""aaGLAssignID"",""1"",""contract"",""343 FIA UT 5101"""</f>
        <v>"GP","Ute Indian Tribe Membership Fund","aaa_contract_detail_sp","JRNENTRY","1619988","aaGLHdrID","1787387","aaGLDistID","1","aaGLAssignID","1","contract","343 FIA UT 5101"</v>
      </c>
      <c r="L34" s="42">
        <v>45882</v>
      </c>
      <c r="M34" s="30">
        <v>1619988</v>
      </c>
      <c r="N34" s="30" t="str">
        <f>"WHITEPLUME, RICHARD"</f>
        <v>WHITEPLUME, RICHARD</v>
      </c>
      <c r="O34" s="30" t="str">
        <f>"TA0892/2025"</f>
        <v>TA0892/2025</v>
      </c>
      <c r="P34" s="30" t="str">
        <f>"SALT LAKE CITY UT 9/05/2025"</f>
        <v>SALT LAKE CITY UT 9/05/2025</v>
      </c>
      <c r="Q34" s="43" t="str">
        <f>"00000000466106"</f>
        <v>00000000466106</v>
      </c>
      <c r="R34" s="44">
        <v>60</v>
      </c>
      <c r="S34" s="44">
        <v>0</v>
      </c>
      <c r="T34" s="45">
        <f t="shared" si="4"/>
        <v>60</v>
      </c>
    </row>
    <row r="35" spans="1:20" s="30" customFormat="1" x14ac:dyDescent="0.25">
      <c r="A35" s="24" t="s">
        <v>24</v>
      </c>
      <c r="B35" s="40"/>
      <c r="C35" s="40"/>
      <c r="D35" s="24"/>
      <c r="E35" s="24"/>
      <c r="F35" s="40" t="e">
        <f t="shared" si="3"/>
        <v>#REF!</v>
      </c>
      <c r="G35" s="40" t="e">
        <f t="shared" si="3"/>
        <v>#REF!</v>
      </c>
      <c r="H35" s="41"/>
      <c r="K35" s="30" t="str">
        <f>"""GP"",""Ute Indian Tribe Membership Fund"",""aaa_contract_detail_sp"",""JRNENTRY"",""1619989"",""aaGLHdrID"",""1787388"",""aaGLDistID"",""1"",""aaGLAssignID"",""1"",""contract"",""343 FIA UT 5101"""</f>
        <v>"GP","Ute Indian Tribe Membership Fund","aaa_contract_detail_sp","JRNENTRY","1619989","aaGLHdrID","1787388","aaGLDistID","1","aaGLAssignID","1","contract","343 FIA UT 5101"</v>
      </c>
      <c r="L35" s="42">
        <v>45882</v>
      </c>
      <c r="M35" s="30">
        <v>1619989</v>
      </c>
      <c r="N35" s="30" t="str">
        <f>"Failner, Shawna J"</f>
        <v>Failner, Shawna J</v>
      </c>
      <c r="O35" s="30" t="str">
        <f>"TA0893/2025"</f>
        <v>TA0893/2025</v>
      </c>
      <c r="P35" s="30" t="str">
        <f>"SALT LAKE CITY UT 9/29-30/2025"</f>
        <v>SALT LAKE CITY UT 9/29-30/2025</v>
      </c>
      <c r="Q35" s="43" t="str">
        <f>"00000000466100"</f>
        <v>00000000466100</v>
      </c>
      <c r="R35" s="44">
        <v>120</v>
      </c>
      <c r="S35" s="44">
        <v>0</v>
      </c>
      <c r="T35" s="45">
        <f t="shared" si="4"/>
        <v>120</v>
      </c>
    </row>
    <row r="36" spans="1:20" s="30" customFormat="1" x14ac:dyDescent="0.25">
      <c r="A36" s="24" t="s">
        <v>24</v>
      </c>
      <c r="B36" s="40"/>
      <c r="C36" s="40"/>
      <c r="D36" s="24"/>
      <c r="E36" s="24"/>
      <c r="F36" s="40" t="e">
        <f t="shared" si="3"/>
        <v>#REF!</v>
      </c>
      <c r="G36" s="40" t="e">
        <f t="shared" si="3"/>
        <v>#REF!</v>
      </c>
      <c r="H36" s="41"/>
      <c r="K36" s="30" t="str">
        <f>"""GP"",""Ute Indian Tribe Membership Fund"",""aaa_contract_detail_sp"",""JRNENTRY"",""1619990"",""aaGLHdrID"",""1787389"",""aaGLDistID"",""1"",""aaGLAssignID"",""1"",""contract"",""343 FIA UT 5101"""</f>
        <v>"GP","Ute Indian Tribe Membership Fund","aaa_contract_detail_sp","JRNENTRY","1619990","aaGLHdrID","1787389","aaGLDistID","1","aaGLAssignID","1","contract","343 FIA UT 5101"</v>
      </c>
      <c r="L36" s="42">
        <v>45882</v>
      </c>
      <c r="M36" s="30">
        <v>1619990</v>
      </c>
      <c r="N36" s="30" t="str">
        <f>"Brittany A. Luck"</f>
        <v>Brittany A. Luck</v>
      </c>
      <c r="O36" s="30" t="str">
        <f>"TA0891/2025"</f>
        <v>TA0891/2025</v>
      </c>
      <c r="P36" s="30" t="str">
        <f>"SALT LAKE CITY UT 9/28-30/2025"</f>
        <v>SALT LAKE CITY UT 9/28-30/2025</v>
      </c>
      <c r="Q36" s="43" t="str">
        <f>"00000000466103"</f>
        <v>00000000466103</v>
      </c>
      <c r="R36" s="44">
        <v>404.4</v>
      </c>
      <c r="S36" s="44">
        <v>0</v>
      </c>
      <c r="T36" s="45">
        <f t="shared" si="4"/>
        <v>404.4</v>
      </c>
    </row>
    <row r="37" spans="1:20" s="30" customFormat="1" x14ac:dyDescent="0.25">
      <c r="A37" s="24" t="s">
        <v>24</v>
      </c>
      <c r="B37" s="40"/>
      <c r="C37" s="40"/>
      <c r="D37" s="24"/>
      <c r="E37" s="24"/>
      <c r="F37" s="40" t="e">
        <f t="shared" si="3"/>
        <v>#REF!</v>
      </c>
      <c r="G37" s="40" t="e">
        <f t="shared" si="3"/>
        <v>#REF!</v>
      </c>
      <c r="H37" s="41"/>
      <c r="K37" s="30" t="str">
        <f>"""GP"",""Ute Indian Tribe Membership Fund"",""aaa_contract_detail_sp"",""JRNENTRY"",""1619991"",""aaGLHdrID"",""1787390"",""aaGLDistID"",""1"",""aaGLAssignID"",""1"",""contract"",""343 FIA UT 5101"""</f>
        <v>"GP","Ute Indian Tribe Membership Fund","aaa_contract_detail_sp","JRNENTRY","1619991","aaGLHdrID","1787390","aaGLDistID","1","aaGLAssignID","1","contract","343 FIA UT 5101"</v>
      </c>
      <c r="L37" s="42">
        <v>45882</v>
      </c>
      <c r="M37" s="30">
        <v>1619991</v>
      </c>
      <c r="N37" s="30" t="str">
        <f>"Brittany A. Luck"</f>
        <v>Brittany A. Luck</v>
      </c>
      <c r="O37" s="30" t="str">
        <f>"TA0890/2025"</f>
        <v>TA0890/2025</v>
      </c>
      <c r="P37" s="30" t="str">
        <f>"PARK CITY UT 9/08/2025"</f>
        <v>PARK CITY UT 9/08/2025</v>
      </c>
      <c r="Q37" s="43" t="str">
        <f>"00000000466104"</f>
        <v>00000000466104</v>
      </c>
      <c r="R37" s="44">
        <v>231.4</v>
      </c>
      <c r="S37" s="44">
        <v>0</v>
      </c>
      <c r="T37" s="45">
        <f t="shared" si="4"/>
        <v>231.4</v>
      </c>
    </row>
    <row r="38" spans="1:20" s="30" customFormat="1" x14ac:dyDescent="0.25">
      <c r="A38" s="24" t="s">
        <v>24</v>
      </c>
      <c r="B38" s="40"/>
      <c r="C38" s="40"/>
      <c r="D38" s="24"/>
      <c r="E38" s="24"/>
      <c r="F38" s="40" t="e">
        <f t="shared" si="3"/>
        <v>#REF!</v>
      </c>
      <c r="G38" s="40" t="e">
        <f t="shared" si="3"/>
        <v>#REF!</v>
      </c>
      <c r="H38" s="41"/>
      <c r="K38" s="30" t="str">
        <f>"""GP"",""Ute Indian Tribe Membership Fund"",""aaa_contract_detail_sp"",""JRNENTRY"",""1619992"",""aaGLHdrID"",""1787391"",""aaGLDistID"",""1"",""aaGLAssignID"",""1"",""contract"",""343 FIA UT 5101"""</f>
        <v>"GP","Ute Indian Tribe Membership Fund","aaa_contract_detail_sp","JRNENTRY","1619992","aaGLHdrID","1787391","aaGLDistID","1","aaGLAssignID","1","contract","343 FIA UT 5101"</v>
      </c>
      <c r="L38" s="42">
        <v>45882</v>
      </c>
      <c r="M38" s="30">
        <v>1619992</v>
      </c>
      <c r="N38" s="30" t="str">
        <f>"TAMMIE ESPLIN"</f>
        <v>TAMMIE ESPLIN</v>
      </c>
      <c r="O38" s="30" t="str">
        <f>"TA0889/2025"</f>
        <v>TA0889/2025</v>
      </c>
      <c r="P38" s="30" t="str">
        <f>"SALT LAKE CITY UT 9/02/2025"</f>
        <v>SALT LAKE CITY UT 9/02/2025</v>
      </c>
      <c r="Q38" s="43" t="str">
        <f>"00000000466099"</f>
        <v>00000000466099</v>
      </c>
      <c r="R38" s="44">
        <v>60</v>
      </c>
      <c r="S38" s="44">
        <v>0</v>
      </c>
      <c r="T38" s="45">
        <f t="shared" si="4"/>
        <v>60</v>
      </c>
    </row>
    <row r="39" spans="1:20" s="30" customFormat="1" x14ac:dyDescent="0.25">
      <c r="A39" s="24" t="s">
        <v>24</v>
      </c>
      <c r="B39" s="40"/>
      <c r="C39" s="40"/>
      <c r="D39" s="24"/>
      <c r="E39" s="24"/>
      <c r="F39" s="40" t="e">
        <f t="shared" si="3"/>
        <v>#REF!</v>
      </c>
      <c r="G39" s="40" t="e">
        <f t="shared" si="3"/>
        <v>#REF!</v>
      </c>
      <c r="H39" s="41"/>
      <c r="K39" s="30" t="str">
        <f>"""GP"",""Ute Indian Tribe Membership Fund"",""aaa_contract_detail_sp"",""JRNENTRY"",""1619993"",""aaGLHdrID"",""1787392"",""aaGLDistID"",""1"",""aaGLAssignID"",""1"",""contract"",""343 FIA UT 5101"""</f>
        <v>"GP","Ute Indian Tribe Membership Fund","aaa_contract_detail_sp","JRNENTRY","1619993","aaGLHdrID","1787392","aaGLDistID","1","aaGLAssignID","1","contract","343 FIA UT 5101"</v>
      </c>
      <c r="L39" s="42">
        <v>45882</v>
      </c>
      <c r="M39" s="30">
        <v>1619993</v>
      </c>
      <c r="N39" s="30" t="str">
        <f>"WHITEPLUME, RICHARD"</f>
        <v>WHITEPLUME, RICHARD</v>
      </c>
      <c r="O39" s="30" t="str">
        <f>"TA0888/2025"</f>
        <v>TA0888/2025</v>
      </c>
      <c r="P39" s="30" t="str">
        <f>"SALT LAKE CITY UT 8/30/2025"</f>
        <v>SALT LAKE CITY UT 8/30/2025</v>
      </c>
      <c r="Q39" s="43" t="str">
        <f>"00000000466107"</f>
        <v>00000000466107</v>
      </c>
      <c r="R39" s="44">
        <v>60</v>
      </c>
      <c r="S39" s="44">
        <v>0</v>
      </c>
      <c r="T39" s="45">
        <f t="shared" si="4"/>
        <v>60</v>
      </c>
    </row>
    <row r="40" spans="1:20" s="30" customFormat="1" x14ac:dyDescent="0.25">
      <c r="A40" s="24" t="s">
        <v>24</v>
      </c>
      <c r="B40" s="40"/>
      <c r="C40" s="40"/>
      <c r="D40" s="24"/>
      <c r="E40" s="24"/>
      <c r="F40" s="40" t="e">
        <f t="shared" si="3"/>
        <v>#REF!</v>
      </c>
      <c r="G40" s="40" t="e">
        <f t="shared" si="3"/>
        <v>#REF!</v>
      </c>
      <c r="H40" s="41"/>
      <c r="K40" s="30" t="str">
        <f>"""GP"",""Ute Indian Tribe Membership Fund"",""aaa_contract_detail_sp"",""JRNENTRY"",""1619994"",""aaGLHdrID"",""1787393"",""aaGLDistID"",""1"",""aaGLAssignID"",""1"",""contract"",""343 FIA UT 5101"""</f>
        <v>"GP","Ute Indian Tribe Membership Fund","aaa_contract_detail_sp","JRNENTRY","1619994","aaGLHdrID","1787393","aaGLDistID","1","aaGLAssignID","1","contract","343 FIA UT 5101"</v>
      </c>
      <c r="L40" s="42">
        <v>45882</v>
      </c>
      <c r="M40" s="30">
        <v>1619994</v>
      </c>
      <c r="N40" s="30" t="str">
        <f>"FITCHETTE, LORI"</f>
        <v>FITCHETTE, LORI</v>
      </c>
      <c r="O40" s="30" t="str">
        <f>"TA0887/2025"</f>
        <v>TA0887/2025</v>
      </c>
      <c r="P40" s="30" t="str">
        <f>"SALT LAKE CITY UT 9/30/2025"</f>
        <v>SALT LAKE CITY UT 9/30/2025</v>
      </c>
      <c r="Q40" s="43" t="str">
        <f>"00000000466101"</f>
        <v>00000000466101</v>
      </c>
      <c r="R40" s="44">
        <v>200</v>
      </c>
      <c r="S40" s="44">
        <v>0</v>
      </c>
      <c r="T40" s="45">
        <f t="shared" si="4"/>
        <v>200</v>
      </c>
    </row>
    <row r="41" spans="1:20" s="30" customFormat="1" x14ac:dyDescent="0.25">
      <c r="A41" s="24" t="s">
        <v>24</v>
      </c>
      <c r="B41" s="40"/>
      <c r="C41" s="40"/>
      <c r="D41" s="24"/>
      <c r="E41" s="24"/>
      <c r="F41" s="40" t="e">
        <f t="shared" si="3"/>
        <v>#REF!</v>
      </c>
      <c r="G41" s="40" t="e">
        <f t="shared" si="3"/>
        <v>#REF!</v>
      </c>
      <c r="H41" s="41"/>
      <c r="K41" s="30" t="str">
        <f>"""GP"",""Ute Indian Tribe Membership Fund"",""aaa_contract_detail_sp"",""JRNENTRY"",""1619995"",""aaGLHdrID"",""1787394"",""aaGLDistID"",""1"",""aaGLAssignID"",""1"",""contract"",""343 FIA UT 5101"""</f>
        <v>"GP","Ute Indian Tribe Membership Fund","aaa_contract_detail_sp","JRNENTRY","1619995","aaGLHdrID","1787394","aaGLDistID","1","aaGLAssignID","1","contract","343 FIA UT 5101"</v>
      </c>
      <c r="L41" s="42">
        <v>45882</v>
      </c>
      <c r="M41" s="30">
        <v>1619995</v>
      </c>
      <c r="N41" s="30" t="str">
        <f>"Megan Earl"</f>
        <v>Megan Earl</v>
      </c>
      <c r="O41" s="30" t="str">
        <f>"TA0886/2025"</f>
        <v>TA0886/2025</v>
      </c>
      <c r="P41" s="30" t="str">
        <f>"SALT LAKE CITY UT 9/29-30/2025"</f>
        <v>SALT LAKE CITY UT 9/29-30/2025</v>
      </c>
      <c r="Q41" s="43" t="str">
        <f>"00000000466098"</f>
        <v>00000000466098</v>
      </c>
      <c r="R41" s="44">
        <v>120</v>
      </c>
      <c r="S41" s="44">
        <v>0</v>
      </c>
      <c r="T41" s="45">
        <f t="shared" si="4"/>
        <v>120</v>
      </c>
    </row>
    <row r="42" spans="1:20" s="30" customFormat="1" x14ac:dyDescent="0.25">
      <c r="A42" s="24" t="s">
        <v>24</v>
      </c>
      <c r="B42" s="40"/>
      <c r="C42" s="40"/>
      <c r="D42" s="24"/>
      <c r="E42" s="24"/>
      <c r="F42" s="40" t="e">
        <f t="shared" si="3"/>
        <v>#REF!</v>
      </c>
      <c r="G42" s="40" t="e">
        <f t="shared" si="3"/>
        <v>#REF!</v>
      </c>
      <c r="H42" s="41"/>
      <c r="K42" s="30" t="str">
        <f>"""GP"",""Ute Indian Tribe Membership Fund"",""aaa_contract_detail_sp"",""JRNENTRY"",""1619996"",""aaGLHdrID"",""1787395"",""aaGLDistID"",""1"",""aaGLAssignID"",""1"",""contract"",""343 FIA UT 5101"""</f>
        <v>"GP","Ute Indian Tribe Membership Fund","aaa_contract_detail_sp","JRNENTRY","1619996","aaGLHdrID","1787395","aaGLDistID","1","aaGLAssignID","1","contract","343 FIA UT 5101"</v>
      </c>
      <c r="L42" s="42">
        <v>45882</v>
      </c>
      <c r="M42" s="30">
        <v>1619996</v>
      </c>
      <c r="N42" s="30" t="str">
        <f>"ALEJANDRO VAZQUEZ"</f>
        <v>ALEJANDRO VAZQUEZ</v>
      </c>
      <c r="O42" s="30" t="str">
        <f>"TA0884/2025"</f>
        <v>TA0884/2025</v>
      </c>
      <c r="P42" s="30" t="str">
        <f>"SALT LAKE CITY UT 9/02/2025"</f>
        <v>SALT LAKE CITY UT 9/02/2025</v>
      </c>
      <c r="Q42" s="43" t="str">
        <f>"00000000466105"</f>
        <v>00000000466105</v>
      </c>
      <c r="R42" s="44">
        <v>60</v>
      </c>
      <c r="S42" s="44">
        <v>0</v>
      </c>
      <c r="T42" s="45">
        <f t="shared" si="4"/>
        <v>60</v>
      </c>
    </row>
    <row r="43" spans="1:20" s="30" customFormat="1" x14ac:dyDescent="0.25">
      <c r="A43" s="24" t="s">
        <v>24</v>
      </c>
      <c r="B43" s="40"/>
      <c r="C43" s="40"/>
      <c r="D43" s="24"/>
      <c r="E43" s="24"/>
      <c r="F43" s="40" t="e">
        <f t="shared" si="3"/>
        <v>#REF!</v>
      </c>
      <c r="G43" s="40" t="e">
        <f t="shared" si="3"/>
        <v>#REF!</v>
      </c>
      <c r="H43" s="41"/>
      <c r="K43" s="30" t="str">
        <f>"""GP"",""Ute Indian Tribe Membership Fund"",""aaa_contract_detail_sp"",""JRNENTRY"",""1619997"",""aaGLHdrID"",""1787396"",""aaGLDistID"",""1"",""aaGLAssignID"",""1"",""contract"",""343 FIA UT 5101"""</f>
        <v>"GP","Ute Indian Tribe Membership Fund","aaa_contract_detail_sp","JRNENTRY","1619997","aaGLHdrID","1787396","aaGLDistID","1","aaGLAssignID","1","contract","343 FIA UT 5101"</v>
      </c>
      <c r="L43" s="42">
        <v>45882</v>
      </c>
      <c r="M43" s="30">
        <v>1619997</v>
      </c>
      <c r="N43" s="30" t="str">
        <f>"Ronee K Wopsock-Pawwinnee"</f>
        <v>Ronee K Wopsock-Pawwinnee</v>
      </c>
      <c r="O43" s="30" t="str">
        <f>"TA0882/2025"</f>
        <v>TA0882/2025</v>
      </c>
      <c r="P43" s="30" t="str">
        <f>"PARK CITY UT 9/-8/2025"</f>
        <v>PARK CITY UT 9/-8/2025</v>
      </c>
      <c r="Q43" s="43" t="str">
        <f>"00000000466108"</f>
        <v>00000000466108</v>
      </c>
      <c r="R43" s="44">
        <v>231.4</v>
      </c>
      <c r="S43" s="44">
        <v>0</v>
      </c>
      <c r="T43" s="45">
        <f t="shared" si="4"/>
        <v>231.4</v>
      </c>
    </row>
    <row r="44" spans="1:20" s="30" customFormat="1" x14ac:dyDescent="0.25">
      <c r="A44" s="24" t="s">
        <v>24</v>
      </c>
      <c r="B44" s="40"/>
      <c r="C44" s="40"/>
      <c r="D44" s="24"/>
      <c r="E44" s="24"/>
      <c r="F44" s="40" t="e">
        <f t="shared" si="3"/>
        <v>#REF!</v>
      </c>
      <c r="G44" s="40" t="e">
        <f t="shared" si="3"/>
        <v>#REF!</v>
      </c>
      <c r="H44" s="41"/>
      <c r="K44" s="30" t="str">
        <f>"""GP"",""Ute Indian Tribe Membership Fund"",""aaa_contract_detail_sp"",""JRNENTRY"",""1620479"",""aaGLHdrID"",""1788325"",""aaGLDistID"",""1"",""aaGLAssignID"",""1"",""contract"",""343 FIA UT 5101"""</f>
        <v>"GP","Ute Indian Tribe Membership Fund","aaa_contract_detail_sp","JRNENTRY","1620479","aaGLHdrID","1788325","aaGLDistID","1","aaGLAssignID","1","contract","343 FIA UT 5101"</v>
      </c>
      <c r="L44" s="42">
        <v>45883</v>
      </c>
      <c r="M44" s="30">
        <v>1620479</v>
      </c>
      <c r="N44" s="30" t="str">
        <f>"Ronee K Wopsock-Pawwinnee"</f>
        <v>Ronee K Wopsock-Pawwinnee</v>
      </c>
      <c r="O44" s="30" t="str">
        <f>"TA0883/2025"</f>
        <v>TA0883/2025</v>
      </c>
      <c r="P44" s="30" t="str">
        <f>"SALT LAKE CITY UT 9/28-30/2025"</f>
        <v>SALT LAKE CITY UT 9/28-30/2025</v>
      </c>
      <c r="Q44" s="43" t="str">
        <f>"00000000466290"</f>
        <v>00000000466290</v>
      </c>
      <c r="R44" s="44">
        <v>404.4</v>
      </c>
      <c r="S44" s="44">
        <v>0</v>
      </c>
      <c r="T44" s="45">
        <f t="shared" si="4"/>
        <v>404.4</v>
      </c>
    </row>
    <row r="45" spans="1:20" s="30" customFormat="1" ht="12.75" x14ac:dyDescent="0.2">
      <c r="A45" s="24" t="s">
        <v>24</v>
      </c>
      <c r="B45" s="40"/>
      <c r="C45" s="40"/>
      <c r="D45" s="24"/>
      <c r="E45" s="24"/>
      <c r="F45" s="40" t="e">
        <f>#REF!</f>
        <v>#REF!</v>
      </c>
      <c r="G45" s="40" t="e">
        <f>#REF!</f>
        <v>#REF!</v>
      </c>
      <c r="H45" s="41"/>
    </row>
    <row r="46" spans="1:20" s="30" customFormat="1" ht="13.5" customHeight="1" x14ac:dyDescent="0.2">
      <c r="A46" s="24" t="s">
        <v>24</v>
      </c>
      <c r="B46" s="24"/>
      <c r="C46" s="24"/>
      <c r="D46" s="24"/>
      <c r="E46" s="24"/>
      <c r="F46" s="24"/>
      <c r="G46" s="24"/>
      <c r="H46" s="29"/>
      <c r="I46" s="53" t="str">
        <f>I27&amp;"   "&amp;J27&amp;"         Total:"</f>
        <v>5021-0-6150-3430   Travel         Total:</v>
      </c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46">
        <f>SUBTOTAL(9,T28:T45)</f>
        <v>3476.6200000000003</v>
      </c>
    </row>
    <row r="47" spans="1:20" s="30" customFormat="1" ht="12.75" x14ac:dyDescent="0.2">
      <c r="A47" s="24" t="s">
        <v>24</v>
      </c>
      <c r="B47" s="24"/>
      <c r="C47" s="24"/>
      <c r="D47" s="24"/>
      <c r="E47" s="24"/>
      <c r="F47" s="24"/>
      <c r="G47" s="24"/>
      <c r="H47" s="29"/>
    </row>
    <row r="48" spans="1:20" s="30" customFormat="1" x14ac:dyDescent="0.25">
      <c r="A48" s="24" t="s">
        <v>24</v>
      </c>
      <c r="B48" s="24"/>
      <c r="C48" s="24"/>
      <c r="D48" s="24"/>
      <c r="E48" s="24"/>
      <c r="F48" s="24"/>
      <c r="G48" s="24"/>
      <c r="H48" s="29"/>
    </row>
    <row r="49" spans="1:20" s="30" customFormat="1" ht="12.75" x14ac:dyDescent="0.2">
      <c r="A49" s="24" t="s">
        <v>24</v>
      </c>
      <c r="B49" s="24"/>
      <c r="C49" s="24"/>
      <c r="D49" s="24"/>
      <c r="E49" s="24"/>
      <c r="F49" s="24" t="str">
        <f>"5021-0-6410-3430"</f>
        <v>5021-0-6410-3430</v>
      </c>
      <c r="G49" s="24" t="str">
        <f>"5021-0-6410-3430"</f>
        <v>5021-0-6410-3430</v>
      </c>
      <c r="H49" s="29"/>
      <c r="I49" s="38" t="str">
        <f>G49</f>
        <v>5021-0-6410-3430</v>
      </c>
      <c r="J49" s="38" t="str">
        <f>"Materials and Supplies"</f>
        <v>Materials and Supplies</v>
      </c>
      <c r="Q49" s="38"/>
      <c r="R49" s="39"/>
    </row>
    <row r="50" spans="1:20" s="30" customFormat="1" x14ac:dyDescent="0.25">
      <c r="A50" s="24" t="s">
        <v>24</v>
      </c>
      <c r="B50" s="40"/>
      <c r="C50" s="40"/>
      <c r="D50" s="24"/>
      <c r="E50" s="24"/>
      <c r="F50" s="40" t="e">
        <f>#REF!</f>
        <v>#REF!</v>
      </c>
      <c r="G50" s="40" t="e">
        <f>#REF!</f>
        <v>#REF!</v>
      </c>
      <c r="H50" s="41"/>
      <c r="K50" s="30" t="str">
        <f>"""GP"",""Ute Indian Tribe Membership Fund"",""aaa_contract_detail_sp"",""JRNENTRY"",""1618986"",""aaGLHdrID"",""1786809"",""aaGLDistID"",""2"",""aaGLAssignID"",""1"",""contract"",""343 FIA UT 5101"""</f>
        <v>"GP","Ute Indian Tribe Membership Fund","aaa_contract_detail_sp","JRNENTRY","1618986","aaGLHdrID","1786809","aaGLDistID","2","aaGLAssignID","1","contract","343 FIA UT 5101"</v>
      </c>
      <c r="L50" s="42">
        <v>45866</v>
      </c>
      <c r="M50" s="30">
        <v>1618986</v>
      </c>
      <c r="N50" s="30" t="str">
        <f>"BOOMBAH, INC"</f>
        <v>BOOMBAH, INC</v>
      </c>
      <c r="O50" s="30" t="str">
        <f>"1035727"</f>
        <v>1035727</v>
      </c>
      <c r="P50" s="30" t="str">
        <f>"Volleyball uniforms"</f>
        <v>Volleyball uniforms</v>
      </c>
      <c r="Q50" s="43" t="str">
        <f>"00000000465966"</f>
        <v>00000000465966</v>
      </c>
      <c r="R50" s="44">
        <v>2175.3000000000002</v>
      </c>
      <c r="S50" s="44">
        <v>0</v>
      </c>
      <c r="T50" s="45">
        <f t="shared" ref="T50:T52" si="5">SUM(R50:S50)</f>
        <v>2175.3000000000002</v>
      </c>
    </row>
    <row r="51" spans="1:20" s="30" customFormat="1" x14ac:dyDescent="0.25">
      <c r="A51" s="24" t="s">
        <v>24</v>
      </c>
      <c r="B51" s="40"/>
      <c r="C51" s="40"/>
      <c r="D51" s="24"/>
      <c r="E51" s="24"/>
      <c r="F51" s="40" t="e">
        <f t="shared" ref="F51:G52" si="6">F50</f>
        <v>#REF!</v>
      </c>
      <c r="G51" s="40" t="e">
        <f t="shared" si="6"/>
        <v>#REF!</v>
      </c>
      <c r="H51" s="41"/>
      <c r="K51" s="30" t="str">
        <f>"""GP"",""Ute Indian Tribe Membership Fund"",""aaa_contract_detail_sp"",""JRNENTRY"",""1619223"",""aaGLHdrID"",""1787111"",""aaGLDistID"",""2"",""aaGLAssignID"",""1"",""contract"",""343 FIA UT 5101"""</f>
        <v>"GP","Ute Indian Tribe Membership Fund","aaa_contract_detail_sp","JRNENTRY","1619223","aaGLHdrID","1787111","aaGLDistID","2","aaGLAssignID","1","contract","343 FIA UT 5101"</v>
      </c>
      <c r="L51" s="42">
        <v>45869</v>
      </c>
      <c r="M51" s="30">
        <v>1619223</v>
      </c>
      <c r="N51" s="30" t="str">
        <f>"Brittany A. Luck"</f>
        <v>Brittany A. Luck</v>
      </c>
      <c r="O51" s="30" t="str">
        <f>"07/31/25"</f>
        <v>07/31/25</v>
      </c>
      <c r="P51" s="30" t="str">
        <f>"Art Class supplies"</f>
        <v>Art Class supplies</v>
      </c>
      <c r="Q51" s="43" t="str">
        <f>"00000000466021"</f>
        <v>00000000466021</v>
      </c>
      <c r="R51" s="44">
        <v>481.96</v>
      </c>
      <c r="S51" s="44">
        <v>0</v>
      </c>
      <c r="T51" s="45">
        <f t="shared" si="5"/>
        <v>481.96</v>
      </c>
    </row>
    <row r="52" spans="1:20" s="30" customFormat="1" x14ac:dyDescent="0.25">
      <c r="A52" s="24" t="s">
        <v>24</v>
      </c>
      <c r="B52" s="40"/>
      <c r="C52" s="40"/>
      <c r="D52" s="24"/>
      <c r="E52" s="24"/>
      <c r="F52" s="40" t="e">
        <f t="shared" si="6"/>
        <v>#REF!</v>
      </c>
      <c r="G52" s="40" t="e">
        <f t="shared" si="6"/>
        <v>#REF!</v>
      </c>
      <c r="H52" s="41"/>
      <c r="K52" s="30" t="str">
        <f>"""GP"",""Ute Indian Tribe Membership Fund"",""aaa_contract_detail_sp"",""JRNENTRY"",""1619224"",""aaGLHdrID"",""1787112"",""aaGLDistID"",""2"",""aaGLAssignID"",""1"",""contract"",""343 FIA UT 5101"""</f>
        <v>"GP","Ute Indian Tribe Membership Fund","aaa_contract_detail_sp","JRNENTRY","1619224","aaGLHdrID","1787112","aaGLDistID","2","aaGLAssignID","1","contract","343 FIA UT 5101"</v>
      </c>
      <c r="L52" s="42">
        <v>45869</v>
      </c>
      <c r="M52" s="30">
        <v>1619224</v>
      </c>
      <c r="N52" s="30" t="str">
        <f>"FITCHETTE, LORI"</f>
        <v>FITCHETTE, LORI</v>
      </c>
      <c r="O52" s="30" t="str">
        <f>"07/31/25"</f>
        <v>07/31/25</v>
      </c>
      <c r="P52" s="30" t="str">
        <f>"Supplies"</f>
        <v>Supplies</v>
      </c>
      <c r="Q52" s="43" t="str">
        <f>"00000000466010"</f>
        <v>00000000466010</v>
      </c>
      <c r="R52" s="44">
        <v>432.54</v>
      </c>
      <c r="S52" s="44">
        <v>0</v>
      </c>
      <c r="T52" s="45">
        <f t="shared" si="5"/>
        <v>432.54</v>
      </c>
    </row>
    <row r="53" spans="1:20" s="30" customFormat="1" x14ac:dyDescent="0.25">
      <c r="A53" s="24" t="s">
        <v>24</v>
      </c>
      <c r="B53" s="40"/>
      <c r="C53" s="40"/>
      <c r="D53" s="24"/>
      <c r="E53" s="24"/>
      <c r="F53" s="40" t="e">
        <f>#REF!</f>
        <v>#REF!</v>
      </c>
      <c r="G53" s="40" t="e">
        <f>#REF!</f>
        <v>#REF!</v>
      </c>
      <c r="H53" s="41"/>
    </row>
    <row r="54" spans="1:20" s="30" customFormat="1" ht="12.75" x14ac:dyDescent="0.2">
      <c r="A54" s="24" t="s">
        <v>24</v>
      </c>
      <c r="B54" s="24"/>
      <c r="C54" s="24"/>
      <c r="D54" s="24"/>
      <c r="E54" s="24"/>
      <c r="F54" s="24"/>
      <c r="G54" s="24"/>
      <c r="H54" s="29"/>
      <c r="I54" s="53" t="str">
        <f>I49&amp;"   "&amp;J49&amp;"         Total:"</f>
        <v>5021-0-6410-3430   Materials and Supplies         Total:</v>
      </c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46">
        <f>SUBTOTAL(9,T50:T53)</f>
        <v>3089.8</v>
      </c>
    </row>
    <row r="55" spans="1:20" s="30" customFormat="1" ht="12.75" x14ac:dyDescent="0.2">
      <c r="A55" s="24" t="s">
        <v>24</v>
      </c>
      <c r="B55" s="24"/>
      <c r="C55" s="24"/>
      <c r="D55" s="24"/>
      <c r="E55" s="24"/>
      <c r="F55" s="24"/>
      <c r="G55" s="24"/>
      <c r="H55" s="29"/>
    </row>
    <row r="56" spans="1:20" s="30" customFormat="1" ht="15.75" hidden="1" thickBot="1" x14ac:dyDescent="0.3">
      <c r="A56" s="24" t="s">
        <v>1</v>
      </c>
      <c r="B56" s="24"/>
      <c r="C56" s="24"/>
      <c r="D56" s="24"/>
      <c r="E56" s="24"/>
      <c r="F56" s="24"/>
      <c r="G56" s="24"/>
      <c r="H56" s="29"/>
      <c r="I56" s="52" t="s">
        <v>25</v>
      </c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47" t="e">
        <f>SUBTOTAL(9,#REF!)</f>
        <v>#REF!</v>
      </c>
    </row>
    <row r="57" spans="1:20" s="30" customFormat="1" x14ac:dyDescent="0.25">
      <c r="A57" s="24"/>
      <c r="B57" s="24"/>
      <c r="C57" s="24"/>
      <c r="D57" s="24"/>
      <c r="E57" s="24"/>
      <c r="F57" s="24"/>
      <c r="G57" s="24"/>
      <c r="H57" s="29"/>
    </row>
  </sheetData>
  <mergeCells count="6">
    <mergeCell ref="I56:S56"/>
    <mergeCell ref="I54:S54"/>
    <mergeCell ref="I46:S46"/>
    <mergeCell ref="I7:K7"/>
    <mergeCell ref="I8:M8"/>
    <mergeCell ref="I24:S24"/>
  </mergeCells>
  <pageMargins left="0.75" right="0.75" top="1" bottom="1" header="0.5" footer="0.5"/>
  <pageSetup scale="3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showGridLines="0" topLeftCell="H1" zoomScale="80" zoomScaleNormal="80" workbookViewId="0">
      <pane ySplit="15" topLeftCell="A16" activePane="bottomLeft" state="frozen"/>
      <selection pane="bottomLeft" activeCell="M43" sqref="M43"/>
    </sheetView>
  </sheetViews>
  <sheetFormatPr defaultRowHeight="15" x14ac:dyDescent="0.25"/>
  <cols>
    <col min="1" max="1" width="11.85546875" hidden="1" customWidth="1"/>
    <col min="2" max="2" width="17.85546875" hidden="1" customWidth="1"/>
    <col min="3" max="5" width="17.7109375" hidden="1" customWidth="1"/>
    <col min="6" max="6" width="9.140625" hidden="1" customWidth="1"/>
    <col min="7" max="7" width="11.140625" hidden="1" customWidth="1"/>
    <col min="8" max="8" width="2.140625" customWidth="1"/>
    <col min="9" max="9" width="17.42578125" bestFit="1" customWidth="1"/>
    <col min="10" max="10" width="29.85546875" bestFit="1" customWidth="1"/>
    <col min="11" max="11" width="22.5703125" hidden="1" customWidth="1"/>
    <col min="12" max="12" width="17.85546875" bestFit="1" customWidth="1"/>
    <col min="13" max="13" width="12.140625" bestFit="1" customWidth="1"/>
    <col min="14" max="14" width="8.5703125" bestFit="1" customWidth="1"/>
    <col min="15" max="15" width="20" bestFit="1" customWidth="1"/>
    <col min="16" max="16" width="11.42578125" bestFit="1" customWidth="1"/>
    <col min="17" max="17" width="16" bestFit="1" customWidth="1"/>
    <col min="18" max="18" width="14.85546875" bestFit="1" customWidth="1"/>
    <col min="19" max="19" width="15.85546875" bestFit="1" customWidth="1"/>
    <col min="20" max="20" width="12" bestFit="1" customWidth="1"/>
  </cols>
  <sheetData>
    <row r="1" spans="1:20" s="24" customFormat="1" ht="12.75" hidden="1" x14ac:dyDescent="0.2">
      <c r="A1" s="24" t="s">
        <v>27</v>
      </c>
      <c r="B1" s="25" t="s">
        <v>1</v>
      </c>
      <c r="C1" s="25" t="s">
        <v>1</v>
      </c>
      <c r="D1" s="25" t="s">
        <v>1</v>
      </c>
      <c r="E1" s="25" t="s">
        <v>1</v>
      </c>
      <c r="F1" s="25" t="s">
        <v>1</v>
      </c>
      <c r="G1" s="25" t="s">
        <v>1</v>
      </c>
      <c r="H1" s="25"/>
      <c r="I1" s="24" t="s">
        <v>2</v>
      </c>
      <c r="J1" s="24" t="s">
        <v>2</v>
      </c>
      <c r="K1" s="24" t="s">
        <v>1</v>
      </c>
      <c r="L1" s="24" t="s">
        <v>2</v>
      </c>
      <c r="M1" s="24" t="s">
        <v>2</v>
      </c>
      <c r="N1" s="24" t="s">
        <v>2</v>
      </c>
      <c r="O1" s="24" t="s">
        <v>2</v>
      </c>
      <c r="P1" s="24" t="s">
        <v>2</v>
      </c>
      <c r="Q1" s="24" t="s">
        <v>2</v>
      </c>
      <c r="R1" s="24" t="s">
        <v>2</v>
      </c>
      <c r="S1" s="24" t="s">
        <v>2</v>
      </c>
      <c r="T1" s="24" t="s">
        <v>2</v>
      </c>
    </row>
    <row r="2" spans="1:20" s="24" customFormat="1" hidden="1" x14ac:dyDescent="0.25">
      <c r="A2" s="24" t="s">
        <v>1</v>
      </c>
      <c r="B2" s="24" t="s">
        <v>3</v>
      </c>
      <c r="C2" s="26">
        <f ca="1">DATE(IF(MONTH(TODAY())&gt;=10,YEAR(TODAY()),YEAR(TODAY())-1),10,1)</f>
        <v>45566</v>
      </c>
      <c r="D2" s="27"/>
      <c r="E2" s="27"/>
      <c r="F2" s="27"/>
      <c r="G2" s="27"/>
      <c r="H2" s="27"/>
    </row>
    <row r="3" spans="1:20" s="24" customFormat="1" hidden="1" x14ac:dyDescent="0.25">
      <c r="A3" s="24" t="s">
        <v>1</v>
      </c>
      <c r="B3" s="24" t="s">
        <v>4</v>
      </c>
      <c r="C3" s="26">
        <f ca="1">EOMONTH(TODAY(),0)</f>
        <v>45930</v>
      </c>
      <c r="D3" s="27"/>
      <c r="E3" s="27"/>
      <c r="F3" s="27"/>
      <c r="G3" s="27"/>
      <c r="H3" s="27"/>
    </row>
    <row r="4" spans="1:20" s="24" customFormat="1" ht="12.75" hidden="1" x14ac:dyDescent="0.2">
      <c r="A4" s="25" t="s">
        <v>1</v>
      </c>
      <c r="B4" s="24" t="s">
        <v>5</v>
      </c>
      <c r="C4" s="28" t="str">
        <f>DateFilter</f>
        <v>..9/30/2020</v>
      </c>
      <c r="D4" s="28"/>
      <c r="E4" s="28"/>
      <c r="F4" s="28"/>
      <c r="G4" s="28"/>
      <c r="H4" s="28"/>
    </row>
    <row r="5" spans="1:20" s="24" customFormat="1" ht="12.75" x14ac:dyDescent="0.2">
      <c r="A5" s="25"/>
      <c r="B5" s="24" t="s">
        <v>28</v>
      </c>
      <c r="C5" s="28" t="str">
        <f>Grant</f>
        <v>3440 FY2025 TITLE 1 URHS</v>
      </c>
      <c r="D5" s="28"/>
      <c r="E5" s="28"/>
      <c r="F5" s="28"/>
      <c r="G5" s="28"/>
      <c r="H5" s="28"/>
    </row>
    <row r="6" spans="1:20" x14ac:dyDescent="0.25">
      <c r="A6" s="24"/>
      <c r="B6" s="24" t="s">
        <v>29</v>
      </c>
      <c r="C6" s="28" t="str">
        <f>Grant</f>
        <v>3440 FY2025 TITLE 1 URHS</v>
      </c>
      <c r="D6" s="28"/>
      <c r="E6" s="28"/>
      <c r="F6" s="24"/>
      <c r="G6" s="24"/>
      <c r="H6" s="29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spans="1:20" ht="23.25" x14ac:dyDescent="0.35">
      <c r="A7" s="24"/>
      <c r="B7" s="24" t="s">
        <v>7</v>
      </c>
      <c r="C7" s="28"/>
      <c r="D7" s="28"/>
      <c r="E7" s="28"/>
      <c r="F7" s="24"/>
      <c r="G7" s="24"/>
      <c r="H7" s="29"/>
      <c r="I7" s="54" t="s">
        <v>33</v>
      </c>
      <c r="J7" s="54"/>
      <c r="K7" s="54"/>
      <c r="L7" s="30"/>
      <c r="M7" s="30"/>
      <c r="N7" s="30"/>
      <c r="O7" s="30"/>
      <c r="P7" s="30"/>
      <c r="Q7" s="30"/>
      <c r="R7" s="30"/>
      <c r="S7" s="30"/>
      <c r="T7" s="30"/>
    </row>
    <row r="8" spans="1:20" x14ac:dyDescent="0.25">
      <c r="A8" s="24"/>
      <c r="B8" s="24" t="s">
        <v>9</v>
      </c>
      <c r="C8" s="28"/>
      <c r="D8" s="28"/>
      <c r="E8" s="28"/>
      <c r="F8" s="24"/>
      <c r="G8" s="24"/>
      <c r="H8" s="29"/>
      <c r="I8" s="55" t="str">
        <f ca="1">"For the Period of "&amp;TEXT($C$2,"MMMM D, YYYY")&amp;" through "&amp;TEXT($C$3,"MMMM D, YYYY")</f>
        <v>For the Period of October 1, 2024 through September 30, 2025</v>
      </c>
      <c r="J8" s="55"/>
      <c r="K8" s="55"/>
      <c r="L8" s="55"/>
      <c r="M8" s="55"/>
      <c r="N8" s="30"/>
      <c r="O8" s="30"/>
      <c r="P8" s="30"/>
      <c r="Q8" s="30"/>
      <c r="R8" s="30"/>
      <c r="S8" s="30"/>
      <c r="T8" s="30"/>
    </row>
    <row r="9" spans="1:20" x14ac:dyDescent="0.25">
      <c r="A9" s="24"/>
      <c r="B9" s="24" t="s">
        <v>10</v>
      </c>
      <c r="C9" s="31" t="str">
        <f ca="1">YEAR($C$2)&amp;"/0"</f>
        <v>2024/0</v>
      </c>
      <c r="D9" s="28"/>
      <c r="E9" s="28"/>
      <c r="F9" s="24"/>
      <c r="G9" s="24"/>
      <c r="H9" s="29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spans="1:20" x14ac:dyDescent="0.25">
      <c r="A10" s="24"/>
      <c r="B10" s="24" t="s">
        <v>11</v>
      </c>
      <c r="C10" s="24"/>
      <c r="D10" s="31"/>
      <c r="E10" s="31"/>
      <c r="F10" s="24"/>
      <c r="G10" s="24"/>
      <c r="H10" s="29"/>
      <c r="I10" s="30" t="str">
        <f>B6</f>
        <v>Contract</v>
      </c>
      <c r="J10" s="32" t="str">
        <f>C6</f>
        <v>3440 FY2025 TITLE 1 URHS</v>
      </c>
      <c r="K10" s="33"/>
      <c r="L10" s="32"/>
      <c r="M10" s="30"/>
      <c r="N10" s="30"/>
      <c r="O10" s="30"/>
      <c r="P10" s="30"/>
      <c r="Q10" s="30"/>
      <c r="R10" s="30"/>
      <c r="S10" s="30"/>
      <c r="T10" s="30"/>
    </row>
    <row r="11" spans="1:20" x14ac:dyDescent="0.25">
      <c r="A11" s="24"/>
      <c r="B11" s="24"/>
      <c r="C11" s="24"/>
      <c r="D11" s="24"/>
      <c r="E11" s="24"/>
      <c r="F11" s="24"/>
      <c r="G11" s="24"/>
      <c r="H11" s="29"/>
      <c r="I11" s="30" t="str">
        <f>B7</f>
        <v>Location</v>
      </c>
      <c r="J11" s="32"/>
      <c r="K11" s="30"/>
      <c r="L11" s="34"/>
      <c r="M11" s="30"/>
      <c r="N11" s="30"/>
      <c r="O11" s="30"/>
      <c r="P11" s="30"/>
      <c r="Q11" s="30"/>
      <c r="R11" s="30"/>
      <c r="S11" s="30"/>
      <c r="T11" s="30"/>
    </row>
    <row r="12" spans="1:20" x14ac:dyDescent="0.25">
      <c r="A12" s="24"/>
      <c r="B12" s="24"/>
      <c r="C12" s="24"/>
      <c r="D12" s="24"/>
      <c r="E12" s="24"/>
      <c r="F12" s="24"/>
      <c r="G12" s="24"/>
      <c r="H12" s="29"/>
      <c r="I12" s="30" t="str">
        <f>B8</f>
        <v>Company</v>
      </c>
      <c r="J12" s="32"/>
      <c r="K12" s="30"/>
      <c r="L12" s="30"/>
      <c r="M12" s="30"/>
      <c r="N12" s="30"/>
      <c r="O12" s="30"/>
      <c r="P12" s="30"/>
      <c r="Q12" s="30"/>
      <c r="R12" s="35" t="s">
        <v>12</v>
      </c>
      <c r="S12" s="36">
        <v>45913</v>
      </c>
      <c r="T12" s="30"/>
    </row>
    <row r="15" spans="1:20" x14ac:dyDescent="0.25">
      <c r="A15" s="24"/>
      <c r="B15" s="24"/>
      <c r="C15" s="24"/>
      <c r="D15" s="24"/>
      <c r="E15" s="24"/>
      <c r="F15" s="24"/>
      <c r="G15" s="24"/>
      <c r="H15" s="29"/>
      <c r="I15" s="37" t="s">
        <v>13</v>
      </c>
      <c r="J15" s="37" t="s">
        <v>14</v>
      </c>
      <c r="K15" s="37"/>
      <c r="L15" s="37" t="s">
        <v>15</v>
      </c>
      <c r="M15" s="37" t="s">
        <v>16</v>
      </c>
      <c r="N15" s="37" t="s">
        <v>17</v>
      </c>
      <c r="O15" s="37" t="s">
        <v>18</v>
      </c>
      <c r="P15" s="37" t="s">
        <v>19</v>
      </c>
      <c r="Q15" s="37" t="s">
        <v>30</v>
      </c>
      <c r="R15" s="37" t="s">
        <v>21</v>
      </c>
      <c r="S15" s="37" t="s">
        <v>22</v>
      </c>
      <c r="T15" s="37" t="s">
        <v>23</v>
      </c>
    </row>
    <row r="18" spans="1:20" s="30" customFormat="1" ht="12.75" x14ac:dyDescent="0.2">
      <c r="A18" s="24" t="s">
        <v>24</v>
      </c>
      <c r="B18" s="24"/>
      <c r="C18" s="24"/>
      <c r="D18" s="24"/>
      <c r="E18" s="24"/>
      <c r="F18" s="24" t="str">
        <f>"5021-0-6100-3440"</f>
        <v>5021-0-6100-3440</v>
      </c>
      <c r="G18" s="24" t="str">
        <f>"5021-0-6100-3440"</f>
        <v>5021-0-6100-3440</v>
      </c>
      <c r="H18" s="29"/>
      <c r="I18" s="38" t="str">
        <f>G18</f>
        <v>5021-0-6100-3440</v>
      </c>
      <c r="J18" s="38" t="str">
        <f>"Salaries and Wages"</f>
        <v>Salaries and Wages</v>
      </c>
      <c r="Q18" s="38"/>
      <c r="R18" s="39"/>
    </row>
    <row r="19" spans="1:20" s="30" customFormat="1" x14ac:dyDescent="0.25">
      <c r="A19" s="24" t="s">
        <v>24</v>
      </c>
      <c r="B19" s="40"/>
      <c r="C19" s="40"/>
      <c r="D19" s="24"/>
      <c r="E19" s="24"/>
      <c r="F19" s="40" t="e">
        <f>#REF!</f>
        <v>#REF!</v>
      </c>
      <c r="G19" s="40" t="e">
        <f>#REF!</f>
        <v>#REF!</v>
      </c>
      <c r="H19" s="41"/>
      <c r="K19" s="30" t="str">
        <f>"""GP"",""Ute Indian Tribe Membership Fund"",""aaa_contract_detail_sp"",""JRNENTRY"",""1612510"",""aaGLHdrID"",""1782120"",""aaGLDistID"",""13"",""aaGLAssignID"",""1"",""contract"",""3440 FY2025 TITLE 1 URHS"""</f>
        <v>"GP","Ute Indian Tribe Membership Fund","aaa_contract_detail_sp","JRNENTRY","1612510","aaGLHdrID","1782120","aaGLDistID","13","aaGLAssignID","1","contract","3440 FY2025 TITLE 1 URHS"</v>
      </c>
      <c r="L19" s="42">
        <v>45840</v>
      </c>
      <c r="M19" s="30">
        <v>1612510</v>
      </c>
      <c r="N19" s="30" t="str">
        <f>""</f>
        <v/>
      </c>
      <c r="O19" s="30" t="str">
        <f>""</f>
        <v/>
      </c>
      <c r="P19" s="30" t="str">
        <f>""</f>
        <v/>
      </c>
      <c r="Q19" s="43" t="str">
        <f>""</f>
        <v/>
      </c>
      <c r="R19" s="44">
        <v>2677.76</v>
      </c>
      <c r="S19" s="44">
        <v>0</v>
      </c>
      <c r="T19" s="45">
        <f t="shared" ref="T19:T22" si="0">SUM(R19:S19)</f>
        <v>2677.76</v>
      </c>
    </row>
    <row r="20" spans="1:20" s="30" customFormat="1" x14ac:dyDescent="0.25">
      <c r="A20" s="24" t="s">
        <v>24</v>
      </c>
      <c r="B20" s="40"/>
      <c r="C20" s="40"/>
      <c r="D20" s="24"/>
      <c r="E20" s="24"/>
      <c r="F20" s="40" t="e">
        <f t="shared" ref="F20:G22" si="1">F19</f>
        <v>#REF!</v>
      </c>
      <c r="G20" s="40" t="e">
        <f t="shared" si="1"/>
        <v>#REF!</v>
      </c>
      <c r="H20" s="41"/>
      <c r="K20" s="30" t="str">
        <f>"""GP"",""Ute Indian Tribe Membership Fund"",""aaa_contract_detail_sp"",""JRNENTRY"",""1614920"",""aaGLHdrID"",""1782793"",""aaGLDistID"",""13"",""aaGLAssignID"",""1"",""contract"",""3440 FY2025 TITLE 1 URHS"""</f>
        <v>"GP","Ute Indian Tribe Membership Fund","aaa_contract_detail_sp","JRNENTRY","1614920","aaGLHdrID","1782793","aaGLDistID","13","aaGLAssignID","1","contract","3440 FY2025 TITLE 1 URHS"</v>
      </c>
      <c r="L20" s="42">
        <v>45855</v>
      </c>
      <c r="M20" s="30">
        <v>1614920</v>
      </c>
      <c r="N20" s="30" t="str">
        <f>""</f>
        <v/>
      </c>
      <c r="O20" s="30" t="str">
        <f>""</f>
        <v/>
      </c>
      <c r="P20" s="30" t="str">
        <f>""</f>
        <v/>
      </c>
      <c r="Q20" s="43" t="str">
        <f>""</f>
        <v/>
      </c>
      <c r="R20" s="44">
        <v>2849.92</v>
      </c>
      <c r="S20" s="44">
        <v>0</v>
      </c>
      <c r="T20" s="45">
        <f t="shared" si="0"/>
        <v>2849.92</v>
      </c>
    </row>
    <row r="21" spans="1:20" s="30" customFormat="1" x14ac:dyDescent="0.25">
      <c r="A21" s="24" t="s">
        <v>24</v>
      </c>
      <c r="B21" s="40"/>
      <c r="C21" s="40"/>
      <c r="D21" s="24"/>
      <c r="E21" s="24"/>
      <c r="F21" s="40" t="e">
        <f t="shared" si="1"/>
        <v>#REF!</v>
      </c>
      <c r="G21" s="40" t="e">
        <f t="shared" si="1"/>
        <v>#REF!</v>
      </c>
      <c r="H21" s="41"/>
      <c r="K21" s="30" t="str">
        <f>"""GP"",""Ute Indian Tribe Membership Fund"",""aaa_contract_detail_sp"",""JRNENTRY"",""1616825"",""aaGLHdrID"",""1784673"",""aaGLDistID"",""13"",""aaGLAssignID"",""1"",""contract"",""3440 FY2025 TITLE 1 URHS"""</f>
        <v>"GP","Ute Indian Tribe Membership Fund","aaa_contract_detail_sp","JRNENTRY","1616825","aaGLHdrID","1784673","aaGLDistID","13","aaGLAssignID","1","contract","3440 FY2025 TITLE 1 URHS"</v>
      </c>
      <c r="L21" s="42">
        <v>45869</v>
      </c>
      <c r="M21" s="30">
        <v>1616825</v>
      </c>
      <c r="N21" s="30" t="str">
        <f>""</f>
        <v/>
      </c>
      <c r="O21" s="30" t="str">
        <f>""</f>
        <v/>
      </c>
      <c r="P21" s="30" t="str">
        <f>""</f>
        <v/>
      </c>
      <c r="Q21" s="43" t="str">
        <f>""</f>
        <v/>
      </c>
      <c r="R21" s="44">
        <v>2849.92</v>
      </c>
      <c r="S21" s="44">
        <v>0</v>
      </c>
      <c r="T21" s="45">
        <f t="shared" si="0"/>
        <v>2849.92</v>
      </c>
    </row>
    <row r="22" spans="1:20" s="30" customFormat="1" x14ac:dyDescent="0.25">
      <c r="A22" s="24" t="s">
        <v>24</v>
      </c>
      <c r="B22" s="40"/>
      <c r="C22" s="40"/>
      <c r="D22" s="24"/>
      <c r="E22" s="24"/>
      <c r="F22" s="40" t="e">
        <f t="shared" si="1"/>
        <v>#REF!</v>
      </c>
      <c r="G22" s="40" t="e">
        <f t="shared" si="1"/>
        <v>#REF!</v>
      </c>
      <c r="H22" s="41"/>
      <c r="K22" s="30" t="str">
        <f>"""GP"",""Ute Indian Tribe Membership Fund"",""aaa_contract_detail_sp"",""JRNENTRY"",""1619744"",""aaGLHdrID"",""1787888"",""aaGLDistID"",""13"",""aaGLAssignID"",""1"",""contract"",""3440 FY2025 TITLE 1 URHS"""</f>
        <v>"GP","Ute Indian Tribe Membership Fund","aaa_contract_detail_sp","JRNENTRY","1619744","aaGLHdrID","1787888","aaGLDistID","13","aaGLAssignID","1","contract","3440 FY2025 TITLE 1 URHS"</v>
      </c>
      <c r="L22" s="42">
        <v>45883</v>
      </c>
      <c r="M22" s="30">
        <v>1619744</v>
      </c>
      <c r="N22" s="30" t="str">
        <f>""</f>
        <v/>
      </c>
      <c r="O22" s="30" t="str">
        <f>""</f>
        <v/>
      </c>
      <c r="P22" s="30" t="str">
        <f>""</f>
        <v/>
      </c>
      <c r="Q22" s="43" t="str">
        <f>""</f>
        <v/>
      </c>
      <c r="R22" s="44">
        <v>2849.92</v>
      </c>
      <c r="S22" s="44">
        <v>0</v>
      </c>
      <c r="T22" s="45">
        <f t="shared" si="0"/>
        <v>2849.92</v>
      </c>
    </row>
    <row r="23" spans="1:20" s="30" customFormat="1" x14ac:dyDescent="0.25">
      <c r="A23" s="24" t="s">
        <v>24</v>
      </c>
      <c r="B23" s="40"/>
      <c r="C23" s="40"/>
      <c r="D23" s="24"/>
      <c r="E23" s="24"/>
      <c r="F23" s="40" t="e">
        <f>#REF!</f>
        <v>#REF!</v>
      </c>
      <c r="G23" s="40" t="e">
        <f>#REF!</f>
        <v>#REF!</v>
      </c>
      <c r="H23" s="41"/>
    </row>
    <row r="24" spans="1:20" s="30" customFormat="1" ht="12.75" x14ac:dyDescent="0.2">
      <c r="A24" s="24" t="s">
        <v>24</v>
      </c>
      <c r="B24" s="24"/>
      <c r="C24" s="24"/>
      <c r="D24" s="24"/>
      <c r="E24" s="24"/>
      <c r="F24" s="24"/>
      <c r="G24" s="24"/>
      <c r="H24" s="29"/>
      <c r="I24" s="53" t="str">
        <f>I18&amp;"   "&amp;J18&amp;"         Total:"</f>
        <v>5021-0-6100-3440   Salaries and Wages         Total:</v>
      </c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46">
        <f>SUBTOTAL(9,T19:T23)</f>
        <v>11227.52</v>
      </c>
    </row>
    <row r="25" spans="1:20" s="30" customFormat="1" ht="12.75" x14ac:dyDescent="0.2">
      <c r="A25" s="24" t="s">
        <v>24</v>
      </c>
      <c r="B25" s="24"/>
      <c r="C25" s="24"/>
      <c r="D25" s="24"/>
      <c r="E25" s="24"/>
      <c r="F25" s="24"/>
      <c r="G25" s="24"/>
      <c r="H25" s="29"/>
    </row>
    <row r="26" spans="1:20" s="30" customFormat="1" x14ac:dyDescent="0.25">
      <c r="A26" s="24" t="s">
        <v>24</v>
      </c>
      <c r="B26" s="24"/>
      <c r="C26" s="24"/>
      <c r="D26" s="24"/>
      <c r="E26" s="24"/>
      <c r="F26" s="24"/>
      <c r="G26" s="24"/>
      <c r="H26" s="29"/>
    </row>
    <row r="27" spans="1:20" s="30" customFormat="1" ht="12.75" x14ac:dyDescent="0.2">
      <c r="A27" s="24" t="s">
        <v>24</v>
      </c>
      <c r="B27" s="24"/>
      <c r="C27" s="24"/>
      <c r="D27" s="24"/>
      <c r="E27" s="24"/>
      <c r="F27" s="24" t="str">
        <f>"5021-0-6110-3440"</f>
        <v>5021-0-6110-3440</v>
      </c>
      <c r="G27" s="24" t="str">
        <f>"5021-0-6110-3440"</f>
        <v>5021-0-6110-3440</v>
      </c>
      <c r="H27" s="29"/>
      <c r="I27" s="38" t="str">
        <f>G27</f>
        <v>5021-0-6110-3440</v>
      </c>
      <c r="J27" s="38" t="str">
        <f>"Fringe Benefits - Taxes"</f>
        <v>Fringe Benefits - Taxes</v>
      </c>
      <c r="Q27" s="38"/>
      <c r="R27" s="39"/>
    </row>
    <row r="28" spans="1:20" s="30" customFormat="1" x14ac:dyDescent="0.25">
      <c r="A28" s="24" t="s">
        <v>24</v>
      </c>
      <c r="B28" s="40"/>
      <c r="C28" s="40"/>
      <c r="D28" s="24"/>
      <c r="E28" s="24"/>
      <c r="F28" s="40" t="e">
        <f>#REF!</f>
        <v>#REF!</v>
      </c>
      <c r="G28" s="40" t="e">
        <f>#REF!</f>
        <v>#REF!</v>
      </c>
      <c r="H28" s="41"/>
      <c r="K28" s="30" t="str">
        <f>"""GP"",""Ute Indian Tribe Membership Fund"",""aaa_contract_detail_sp"",""JRNENTRY"",""1612510"",""aaGLHdrID"",""1782120"",""aaGLDistID"",""14"",""aaGLAssignID"",""1"",""contract"",""3440 FY2025 TITLE 1 URHS"""</f>
        <v>"GP","Ute Indian Tribe Membership Fund","aaa_contract_detail_sp","JRNENTRY","1612510","aaGLHdrID","1782120","aaGLDistID","14","aaGLAssignID","1","contract","3440 FY2025 TITLE 1 URHS"</v>
      </c>
      <c r="L28" s="42">
        <v>45840</v>
      </c>
      <c r="M28" s="30">
        <v>1612510</v>
      </c>
      <c r="N28" s="30" t="str">
        <f>""</f>
        <v/>
      </c>
      <c r="O28" s="30" t="str">
        <f>""</f>
        <v/>
      </c>
      <c r="P28" s="30" t="str">
        <f>""</f>
        <v/>
      </c>
      <c r="Q28" s="43" t="str">
        <f>""</f>
        <v/>
      </c>
      <c r="R28" s="44">
        <v>166.02</v>
      </c>
      <c r="S28" s="44">
        <v>0</v>
      </c>
      <c r="T28" s="45">
        <f t="shared" ref="T28:T37" si="2">SUM(R28:S28)</f>
        <v>166.02</v>
      </c>
    </row>
    <row r="29" spans="1:20" s="30" customFormat="1" x14ac:dyDescent="0.25">
      <c r="A29" s="24" t="s">
        <v>24</v>
      </c>
      <c r="B29" s="40"/>
      <c r="C29" s="40"/>
      <c r="D29" s="24"/>
      <c r="E29" s="24"/>
      <c r="F29" s="40" t="e">
        <f t="shared" ref="F29:G37" si="3">F28</f>
        <v>#REF!</v>
      </c>
      <c r="G29" s="40" t="e">
        <f t="shared" si="3"/>
        <v>#REF!</v>
      </c>
      <c r="H29" s="41"/>
      <c r="K29" s="30" t="str">
        <f>"""GP"",""Ute Indian Tribe Membership Fund"",""aaa_contract_detail_sp"",""JRNENTRY"",""1612510"",""aaGLHdrID"",""1782120"",""aaGLDistID"",""15"",""aaGLAssignID"",""1"",""contract"",""3440 FY2025 TITLE 1 URHS"""</f>
        <v>"GP","Ute Indian Tribe Membership Fund","aaa_contract_detail_sp","JRNENTRY","1612510","aaGLHdrID","1782120","aaGLDistID","15","aaGLAssignID","1","contract","3440 FY2025 TITLE 1 URHS"</v>
      </c>
      <c r="L29" s="42">
        <v>45840</v>
      </c>
      <c r="M29" s="30">
        <v>1612510</v>
      </c>
      <c r="N29" s="30" t="str">
        <f>""</f>
        <v/>
      </c>
      <c r="O29" s="30" t="str">
        <f>""</f>
        <v/>
      </c>
      <c r="P29" s="30" t="str">
        <f>""</f>
        <v/>
      </c>
      <c r="Q29" s="43" t="str">
        <f>""</f>
        <v/>
      </c>
      <c r="R29" s="44">
        <v>38.83</v>
      </c>
      <c r="S29" s="44">
        <v>0</v>
      </c>
      <c r="T29" s="45">
        <f t="shared" si="2"/>
        <v>38.83</v>
      </c>
    </row>
    <row r="30" spans="1:20" s="30" customFormat="1" x14ac:dyDescent="0.25">
      <c r="A30" s="24" t="s">
        <v>24</v>
      </c>
      <c r="B30" s="40"/>
      <c r="C30" s="40"/>
      <c r="D30" s="24"/>
      <c r="E30" s="24"/>
      <c r="F30" s="40" t="e">
        <f t="shared" si="3"/>
        <v>#REF!</v>
      </c>
      <c r="G30" s="40" t="e">
        <f t="shared" si="3"/>
        <v>#REF!</v>
      </c>
      <c r="H30" s="41"/>
      <c r="K30" s="30" t="str">
        <f>"""GP"",""Ute Indian Tribe Membership Fund"",""aaa_contract_detail_sp"",""JRNENTRY"",""1617618"",""aaGLHdrID"",""1786375"",""aaGLDistID"",""23"",""aaGLAssignID"",""1"",""contract"",""3440 FY2025 TITLE 1 URHS"""</f>
        <v>"GP","Ute Indian Tribe Membership Fund","aaa_contract_detail_sp","JRNENTRY","1617618","aaGLHdrID","1786375","aaGLDistID","23","aaGLAssignID","1","contract","3440 FY2025 TITLE 1 URHS"</v>
      </c>
      <c r="L30" s="42">
        <v>45841</v>
      </c>
      <c r="M30" s="30">
        <v>1617618</v>
      </c>
      <c r="N30" s="30" t="str">
        <f>""</f>
        <v/>
      </c>
      <c r="O30" s="30" t="str">
        <f>""</f>
        <v/>
      </c>
      <c r="P30" s="30" t="str">
        <f>""</f>
        <v/>
      </c>
      <c r="Q30" s="43" t="str">
        <f>""</f>
        <v/>
      </c>
      <c r="R30" s="44">
        <v>26.78</v>
      </c>
      <c r="S30" s="44">
        <v>0</v>
      </c>
      <c r="T30" s="45">
        <f t="shared" si="2"/>
        <v>26.78</v>
      </c>
    </row>
    <row r="31" spans="1:20" s="30" customFormat="1" x14ac:dyDescent="0.25">
      <c r="A31" s="24" t="s">
        <v>24</v>
      </c>
      <c r="B31" s="40"/>
      <c r="C31" s="40"/>
      <c r="D31" s="24"/>
      <c r="E31" s="24"/>
      <c r="F31" s="40" t="e">
        <f t="shared" si="3"/>
        <v>#REF!</v>
      </c>
      <c r="G31" s="40" t="e">
        <f t="shared" si="3"/>
        <v>#REF!</v>
      </c>
      <c r="H31" s="41"/>
      <c r="K31" s="30" t="str">
        <f>"""GP"",""Ute Indian Tribe Membership Fund"",""aaa_contract_detail_sp"",""JRNENTRY"",""1617618"",""aaGLHdrID"",""1786375"",""aaGLDistID"",""667"",""aaGLAssignID"",""1"",""contract"",""3440 FY2025 TITLE 1 URHS"""</f>
        <v>"GP","Ute Indian Tribe Membership Fund","aaa_contract_detail_sp","JRNENTRY","1617618","aaGLHdrID","1786375","aaGLDistID","667","aaGLAssignID","1","contract","3440 FY2025 TITLE 1 URHS"</v>
      </c>
      <c r="L31" s="42">
        <v>45841</v>
      </c>
      <c r="M31" s="30">
        <v>1617618</v>
      </c>
      <c r="N31" s="30" t="str">
        <f>""</f>
        <v/>
      </c>
      <c r="O31" s="30" t="str">
        <f>""</f>
        <v/>
      </c>
      <c r="P31" s="30" t="str">
        <f>""</f>
        <v/>
      </c>
      <c r="Q31" s="43" t="str">
        <f>""</f>
        <v/>
      </c>
      <c r="R31" s="44">
        <v>26.78</v>
      </c>
      <c r="S31" s="44">
        <v>0</v>
      </c>
      <c r="T31" s="45">
        <f t="shared" si="2"/>
        <v>26.78</v>
      </c>
    </row>
    <row r="32" spans="1:20" s="30" customFormat="1" x14ac:dyDescent="0.25">
      <c r="A32" s="24" t="s">
        <v>24</v>
      </c>
      <c r="B32" s="40"/>
      <c r="C32" s="40"/>
      <c r="D32" s="24"/>
      <c r="E32" s="24"/>
      <c r="F32" s="40" t="e">
        <f t="shared" si="3"/>
        <v>#REF!</v>
      </c>
      <c r="G32" s="40" t="e">
        <f t="shared" si="3"/>
        <v>#REF!</v>
      </c>
      <c r="H32" s="41"/>
      <c r="K32" s="30" t="str">
        <f>"""GP"",""Ute Indian Tribe Membership Fund"",""aaa_contract_detail_sp"",""JRNENTRY"",""1614920"",""aaGLHdrID"",""1782793"",""aaGLDistID"",""14"",""aaGLAssignID"",""1"",""contract"",""3440 FY2025 TITLE 1 URHS"""</f>
        <v>"GP","Ute Indian Tribe Membership Fund","aaa_contract_detail_sp","JRNENTRY","1614920","aaGLHdrID","1782793","aaGLDistID","14","aaGLAssignID","1","contract","3440 FY2025 TITLE 1 URHS"</v>
      </c>
      <c r="L32" s="42">
        <v>45855</v>
      </c>
      <c r="M32" s="30">
        <v>1614920</v>
      </c>
      <c r="N32" s="30" t="str">
        <f>""</f>
        <v/>
      </c>
      <c r="O32" s="30" t="str">
        <f>""</f>
        <v/>
      </c>
      <c r="P32" s="30" t="str">
        <f>""</f>
        <v/>
      </c>
      <c r="Q32" s="43" t="str">
        <f>""</f>
        <v/>
      </c>
      <c r="R32" s="44">
        <v>176.7</v>
      </c>
      <c r="S32" s="44">
        <v>0</v>
      </c>
      <c r="T32" s="45">
        <f t="shared" si="2"/>
        <v>176.7</v>
      </c>
    </row>
    <row r="33" spans="1:20" s="30" customFormat="1" x14ac:dyDescent="0.25">
      <c r="A33" s="24" t="s">
        <v>24</v>
      </c>
      <c r="B33" s="40"/>
      <c r="C33" s="40"/>
      <c r="D33" s="24"/>
      <c r="E33" s="24"/>
      <c r="F33" s="40" t="e">
        <f t="shared" si="3"/>
        <v>#REF!</v>
      </c>
      <c r="G33" s="40" t="e">
        <f t="shared" si="3"/>
        <v>#REF!</v>
      </c>
      <c r="H33" s="41"/>
      <c r="K33" s="30" t="str">
        <f>"""GP"",""Ute Indian Tribe Membership Fund"",""aaa_contract_detail_sp"",""JRNENTRY"",""1614920"",""aaGLHdrID"",""1782793"",""aaGLDistID"",""15"",""aaGLAssignID"",""1"",""contract"",""3440 FY2025 TITLE 1 URHS"""</f>
        <v>"GP","Ute Indian Tribe Membership Fund","aaa_contract_detail_sp","JRNENTRY","1614920","aaGLHdrID","1782793","aaGLDistID","15","aaGLAssignID","1","contract","3440 FY2025 TITLE 1 URHS"</v>
      </c>
      <c r="L33" s="42">
        <v>45855</v>
      </c>
      <c r="M33" s="30">
        <v>1614920</v>
      </c>
      <c r="N33" s="30" t="str">
        <f>""</f>
        <v/>
      </c>
      <c r="O33" s="30" t="str">
        <f>""</f>
        <v/>
      </c>
      <c r="P33" s="30" t="str">
        <f>""</f>
        <v/>
      </c>
      <c r="Q33" s="43" t="str">
        <f>""</f>
        <v/>
      </c>
      <c r="R33" s="44">
        <v>41.32</v>
      </c>
      <c r="S33" s="44">
        <v>0</v>
      </c>
      <c r="T33" s="45">
        <f t="shared" si="2"/>
        <v>41.32</v>
      </c>
    </row>
    <row r="34" spans="1:20" s="30" customFormat="1" x14ac:dyDescent="0.25">
      <c r="A34" s="24" t="s">
        <v>24</v>
      </c>
      <c r="B34" s="40"/>
      <c r="C34" s="40"/>
      <c r="D34" s="24"/>
      <c r="E34" s="24"/>
      <c r="F34" s="40" t="e">
        <f t="shared" si="3"/>
        <v>#REF!</v>
      </c>
      <c r="G34" s="40" t="e">
        <f t="shared" si="3"/>
        <v>#REF!</v>
      </c>
      <c r="H34" s="41"/>
      <c r="K34" s="30" t="str">
        <f>"""GP"",""Ute Indian Tribe Membership Fund"",""aaa_contract_detail_sp"",""JRNENTRY"",""1616825"",""aaGLHdrID"",""1784673"",""aaGLDistID"",""14"",""aaGLAssignID"",""1"",""contract"",""3440 FY2025 TITLE 1 URHS"""</f>
        <v>"GP","Ute Indian Tribe Membership Fund","aaa_contract_detail_sp","JRNENTRY","1616825","aaGLHdrID","1784673","aaGLDistID","14","aaGLAssignID","1","contract","3440 FY2025 TITLE 1 URHS"</v>
      </c>
      <c r="L34" s="42">
        <v>45869</v>
      </c>
      <c r="M34" s="30">
        <v>1616825</v>
      </c>
      <c r="N34" s="30" t="str">
        <f>""</f>
        <v/>
      </c>
      <c r="O34" s="30" t="str">
        <f>""</f>
        <v/>
      </c>
      <c r="P34" s="30" t="str">
        <f>""</f>
        <v/>
      </c>
      <c r="Q34" s="43" t="str">
        <f>""</f>
        <v/>
      </c>
      <c r="R34" s="44">
        <v>176.69</v>
      </c>
      <c r="S34" s="44">
        <v>0</v>
      </c>
      <c r="T34" s="45">
        <f t="shared" si="2"/>
        <v>176.69</v>
      </c>
    </row>
    <row r="35" spans="1:20" s="30" customFormat="1" x14ac:dyDescent="0.25">
      <c r="A35" s="24" t="s">
        <v>24</v>
      </c>
      <c r="B35" s="40"/>
      <c r="C35" s="40"/>
      <c r="D35" s="24"/>
      <c r="E35" s="24"/>
      <c r="F35" s="40" t="e">
        <f t="shared" si="3"/>
        <v>#REF!</v>
      </c>
      <c r="G35" s="40" t="e">
        <f t="shared" si="3"/>
        <v>#REF!</v>
      </c>
      <c r="H35" s="41"/>
      <c r="K35" s="30" t="str">
        <f>"""GP"",""Ute Indian Tribe Membership Fund"",""aaa_contract_detail_sp"",""JRNENTRY"",""1616825"",""aaGLHdrID"",""1784673"",""aaGLDistID"",""15"",""aaGLAssignID"",""1"",""contract"",""3440 FY2025 TITLE 1 URHS"""</f>
        <v>"GP","Ute Indian Tribe Membership Fund","aaa_contract_detail_sp","JRNENTRY","1616825","aaGLHdrID","1784673","aaGLDistID","15","aaGLAssignID","1","contract","3440 FY2025 TITLE 1 URHS"</v>
      </c>
      <c r="L35" s="42">
        <v>45869</v>
      </c>
      <c r="M35" s="30">
        <v>1616825</v>
      </c>
      <c r="N35" s="30" t="str">
        <f>""</f>
        <v/>
      </c>
      <c r="O35" s="30" t="str">
        <f>""</f>
        <v/>
      </c>
      <c r="P35" s="30" t="str">
        <f>""</f>
        <v/>
      </c>
      <c r="Q35" s="43" t="str">
        <f>""</f>
        <v/>
      </c>
      <c r="R35" s="44">
        <v>41.32</v>
      </c>
      <c r="S35" s="44">
        <v>0</v>
      </c>
      <c r="T35" s="45">
        <f t="shared" si="2"/>
        <v>41.32</v>
      </c>
    </row>
    <row r="36" spans="1:20" s="30" customFormat="1" x14ac:dyDescent="0.25">
      <c r="A36" s="24" t="s">
        <v>24</v>
      </c>
      <c r="B36" s="40"/>
      <c r="C36" s="40"/>
      <c r="D36" s="24"/>
      <c r="E36" s="24"/>
      <c r="F36" s="40" t="e">
        <f t="shared" si="3"/>
        <v>#REF!</v>
      </c>
      <c r="G36" s="40" t="e">
        <f t="shared" si="3"/>
        <v>#REF!</v>
      </c>
      <c r="H36" s="41"/>
      <c r="K36" s="30" t="str">
        <f>"""GP"",""Ute Indian Tribe Membership Fund"",""aaa_contract_detail_sp"",""JRNENTRY"",""1619744"",""aaGLHdrID"",""1787888"",""aaGLDistID"",""14"",""aaGLAssignID"",""1"",""contract"",""3440 FY2025 TITLE 1 URHS"""</f>
        <v>"GP","Ute Indian Tribe Membership Fund","aaa_contract_detail_sp","JRNENTRY","1619744","aaGLHdrID","1787888","aaGLDistID","14","aaGLAssignID","1","contract","3440 FY2025 TITLE 1 URHS"</v>
      </c>
      <c r="L36" s="42">
        <v>45883</v>
      </c>
      <c r="M36" s="30">
        <v>1619744</v>
      </c>
      <c r="N36" s="30" t="str">
        <f>""</f>
        <v/>
      </c>
      <c r="O36" s="30" t="str">
        <f>""</f>
        <v/>
      </c>
      <c r="P36" s="30" t="str">
        <f>""</f>
        <v/>
      </c>
      <c r="Q36" s="43" t="str">
        <f>""</f>
        <v/>
      </c>
      <c r="R36" s="44">
        <v>176.7</v>
      </c>
      <c r="S36" s="44">
        <v>0</v>
      </c>
      <c r="T36" s="45">
        <f t="shared" si="2"/>
        <v>176.7</v>
      </c>
    </row>
    <row r="37" spans="1:20" s="30" customFormat="1" x14ac:dyDescent="0.25">
      <c r="A37" s="24" t="s">
        <v>24</v>
      </c>
      <c r="B37" s="40"/>
      <c r="C37" s="40"/>
      <c r="D37" s="24"/>
      <c r="E37" s="24"/>
      <c r="F37" s="40" t="e">
        <f t="shared" si="3"/>
        <v>#REF!</v>
      </c>
      <c r="G37" s="40" t="e">
        <f t="shared" si="3"/>
        <v>#REF!</v>
      </c>
      <c r="H37" s="41"/>
      <c r="K37" s="30" t="str">
        <f>"""GP"",""Ute Indian Tribe Membership Fund"",""aaa_contract_detail_sp"",""JRNENTRY"",""1619744"",""aaGLHdrID"",""1787888"",""aaGLDistID"",""15"",""aaGLAssignID"",""1"",""contract"",""3440 FY2025 TITLE 1 URHS"""</f>
        <v>"GP","Ute Indian Tribe Membership Fund","aaa_contract_detail_sp","JRNENTRY","1619744","aaGLHdrID","1787888","aaGLDistID","15","aaGLAssignID","1","contract","3440 FY2025 TITLE 1 URHS"</v>
      </c>
      <c r="L37" s="42">
        <v>45883</v>
      </c>
      <c r="M37" s="30">
        <v>1619744</v>
      </c>
      <c r="N37" s="30" t="str">
        <f>""</f>
        <v/>
      </c>
      <c r="O37" s="30" t="str">
        <f>""</f>
        <v/>
      </c>
      <c r="P37" s="30" t="str">
        <f>""</f>
        <v/>
      </c>
      <c r="Q37" s="43" t="str">
        <f>""</f>
        <v/>
      </c>
      <c r="R37" s="44">
        <v>41.33</v>
      </c>
      <c r="S37" s="44">
        <v>0</v>
      </c>
      <c r="T37" s="45">
        <f t="shared" si="2"/>
        <v>41.33</v>
      </c>
    </row>
    <row r="38" spans="1:20" s="30" customFormat="1" x14ac:dyDescent="0.25">
      <c r="A38" s="24" t="s">
        <v>24</v>
      </c>
      <c r="B38" s="40"/>
      <c r="C38" s="40"/>
      <c r="D38" s="24"/>
      <c r="E38" s="24"/>
      <c r="F38" s="40" t="e">
        <f>#REF!</f>
        <v>#REF!</v>
      </c>
      <c r="G38" s="40" t="e">
        <f>#REF!</f>
        <v>#REF!</v>
      </c>
      <c r="H38" s="41"/>
    </row>
    <row r="39" spans="1:20" s="30" customFormat="1" x14ac:dyDescent="0.25">
      <c r="A39" s="24" t="s">
        <v>24</v>
      </c>
      <c r="B39" s="24"/>
      <c r="C39" s="24"/>
      <c r="D39" s="24"/>
      <c r="E39" s="24"/>
      <c r="F39" s="24"/>
      <c r="G39" s="24"/>
      <c r="H39" s="29"/>
      <c r="I39" s="53" t="str">
        <f>I27&amp;"   "&amp;J27&amp;"         Total:"</f>
        <v>5021-0-6110-3440   Fringe Benefits - Taxes         Total:</v>
      </c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46">
        <f>SUBTOTAL(9,T28:T38)</f>
        <v>912.47000000000014</v>
      </c>
    </row>
    <row r="40" spans="1:20" s="30" customFormat="1" x14ac:dyDescent="0.25">
      <c r="A40" s="24" t="s">
        <v>24</v>
      </c>
      <c r="B40" s="24"/>
      <c r="C40" s="24"/>
      <c r="D40" s="24"/>
      <c r="E40" s="24"/>
      <c r="F40" s="24"/>
      <c r="G40" s="24"/>
      <c r="H40" s="29"/>
    </row>
    <row r="41" spans="1:20" s="30" customFormat="1" x14ac:dyDescent="0.25">
      <c r="A41" s="24" t="s">
        <v>24</v>
      </c>
      <c r="B41" s="24"/>
      <c r="C41" s="24"/>
      <c r="D41" s="24"/>
      <c r="E41" s="24"/>
      <c r="F41" s="24"/>
      <c r="G41" s="24"/>
      <c r="H41" s="29"/>
    </row>
    <row r="42" spans="1:20" s="30" customFormat="1" ht="12.75" x14ac:dyDescent="0.2">
      <c r="A42" s="24" t="s">
        <v>24</v>
      </c>
      <c r="B42" s="24"/>
      <c r="C42" s="24"/>
      <c r="D42" s="24"/>
      <c r="E42" s="24"/>
      <c r="F42" s="24" t="str">
        <f>"5021-0-6120-3440"</f>
        <v>5021-0-6120-3440</v>
      </c>
      <c r="G42" s="24" t="str">
        <f>"5021-0-6120-3440"</f>
        <v>5021-0-6120-3440</v>
      </c>
      <c r="H42" s="29"/>
      <c r="I42" s="38" t="str">
        <f>G42</f>
        <v>5021-0-6120-3440</v>
      </c>
      <c r="J42" s="38" t="str">
        <f>"Fringe Benefits - Retirement"</f>
        <v>Fringe Benefits - Retirement</v>
      </c>
      <c r="Q42" s="38"/>
      <c r="R42" s="39"/>
    </row>
    <row r="43" spans="1:20" s="30" customFormat="1" x14ac:dyDescent="0.25">
      <c r="A43" s="24" t="s">
        <v>24</v>
      </c>
      <c r="B43" s="40"/>
      <c r="C43" s="40"/>
      <c r="D43" s="24"/>
      <c r="E43" s="24"/>
      <c r="F43" s="40" t="e">
        <f>#REF!</f>
        <v>#REF!</v>
      </c>
      <c r="G43" s="40" t="e">
        <f>#REF!</f>
        <v>#REF!</v>
      </c>
      <c r="H43" s="41"/>
      <c r="K43" s="30" t="str">
        <f>"""GP"",""Ute Indian Tribe Membership Fund"",""aaa_contract_detail_sp"",""JRNENTRY"",""1612510"",""aaGLHdrID"",""1782120"",""aaGLDistID"",""16"",""aaGLAssignID"",""1"",""contract"",""3440 FY2025 TITLE 1 URHS"""</f>
        <v>"GP","Ute Indian Tribe Membership Fund","aaa_contract_detail_sp","JRNENTRY","1612510","aaGLHdrID","1782120","aaGLDistID","16","aaGLAssignID","1","contract","3440 FY2025 TITLE 1 URHS"</v>
      </c>
      <c r="L43" s="42">
        <v>45840</v>
      </c>
      <c r="M43" s="30">
        <v>1612510</v>
      </c>
      <c r="N43" s="30" t="str">
        <f>""</f>
        <v/>
      </c>
      <c r="O43" s="30" t="str">
        <f>""</f>
        <v/>
      </c>
      <c r="P43" s="30" t="str">
        <f>""</f>
        <v/>
      </c>
      <c r="Q43" s="43" t="str">
        <f>""</f>
        <v/>
      </c>
      <c r="R43" s="44">
        <v>133.88999999999999</v>
      </c>
      <c r="S43" s="44">
        <v>0</v>
      </c>
      <c r="T43" s="45">
        <f t="shared" ref="T43:T46" si="4">SUM(R43:S43)</f>
        <v>133.88999999999999</v>
      </c>
    </row>
    <row r="44" spans="1:20" s="30" customFormat="1" x14ac:dyDescent="0.25">
      <c r="A44" s="24" t="s">
        <v>24</v>
      </c>
      <c r="B44" s="40"/>
      <c r="C44" s="40"/>
      <c r="D44" s="24"/>
      <c r="E44" s="24"/>
      <c r="F44" s="40" t="e">
        <f t="shared" ref="F44:G46" si="5">F43</f>
        <v>#REF!</v>
      </c>
      <c r="G44" s="40" t="e">
        <f t="shared" si="5"/>
        <v>#REF!</v>
      </c>
      <c r="H44" s="41"/>
      <c r="K44" s="30" t="str">
        <f>"""GP"",""Ute Indian Tribe Membership Fund"",""aaa_contract_detail_sp"",""JRNENTRY"",""1614920"",""aaGLHdrID"",""1782793"",""aaGLDistID"",""16"",""aaGLAssignID"",""1"",""contract"",""3440 FY2025 TITLE 1 URHS"""</f>
        <v>"GP","Ute Indian Tribe Membership Fund","aaa_contract_detail_sp","JRNENTRY","1614920","aaGLHdrID","1782793","aaGLDistID","16","aaGLAssignID","1","contract","3440 FY2025 TITLE 1 URHS"</v>
      </c>
      <c r="L44" s="42">
        <v>45855</v>
      </c>
      <c r="M44" s="30">
        <v>1614920</v>
      </c>
      <c r="N44" s="30" t="str">
        <f>""</f>
        <v/>
      </c>
      <c r="O44" s="30" t="str">
        <f>""</f>
        <v/>
      </c>
      <c r="P44" s="30" t="str">
        <f>""</f>
        <v/>
      </c>
      <c r="Q44" s="43" t="str">
        <f>""</f>
        <v/>
      </c>
      <c r="R44" s="44">
        <v>142.5</v>
      </c>
      <c r="S44" s="44">
        <v>0</v>
      </c>
      <c r="T44" s="45">
        <f t="shared" si="4"/>
        <v>142.5</v>
      </c>
    </row>
    <row r="45" spans="1:20" s="30" customFormat="1" x14ac:dyDescent="0.25">
      <c r="A45" s="24" t="s">
        <v>24</v>
      </c>
      <c r="B45" s="40"/>
      <c r="C45" s="40"/>
      <c r="D45" s="24"/>
      <c r="E45" s="24"/>
      <c r="F45" s="40" t="e">
        <f t="shared" si="5"/>
        <v>#REF!</v>
      </c>
      <c r="G45" s="40" t="e">
        <f t="shared" si="5"/>
        <v>#REF!</v>
      </c>
      <c r="H45" s="41"/>
      <c r="K45" s="30" t="str">
        <f>"""GP"",""Ute Indian Tribe Membership Fund"",""aaa_contract_detail_sp"",""JRNENTRY"",""1616825"",""aaGLHdrID"",""1784673"",""aaGLDistID"",""16"",""aaGLAssignID"",""1"",""contract"",""3440 FY2025 TITLE 1 URHS"""</f>
        <v>"GP","Ute Indian Tribe Membership Fund","aaa_contract_detail_sp","JRNENTRY","1616825","aaGLHdrID","1784673","aaGLDistID","16","aaGLAssignID","1","contract","3440 FY2025 TITLE 1 URHS"</v>
      </c>
      <c r="L45" s="42">
        <v>45869</v>
      </c>
      <c r="M45" s="30">
        <v>1616825</v>
      </c>
      <c r="N45" s="30" t="str">
        <f>""</f>
        <v/>
      </c>
      <c r="O45" s="30" t="str">
        <f>""</f>
        <v/>
      </c>
      <c r="P45" s="30" t="str">
        <f>""</f>
        <v/>
      </c>
      <c r="Q45" s="43" t="str">
        <f>""</f>
        <v/>
      </c>
      <c r="R45" s="44">
        <v>142.5</v>
      </c>
      <c r="S45" s="44">
        <v>0</v>
      </c>
      <c r="T45" s="45">
        <f t="shared" si="4"/>
        <v>142.5</v>
      </c>
    </row>
    <row r="46" spans="1:20" s="30" customFormat="1" x14ac:dyDescent="0.25">
      <c r="A46" s="24" t="s">
        <v>24</v>
      </c>
      <c r="B46" s="40"/>
      <c r="C46" s="40"/>
      <c r="D46" s="24"/>
      <c r="E46" s="24"/>
      <c r="F46" s="40" t="e">
        <f t="shared" si="5"/>
        <v>#REF!</v>
      </c>
      <c r="G46" s="40" t="e">
        <f t="shared" si="5"/>
        <v>#REF!</v>
      </c>
      <c r="H46" s="41"/>
      <c r="K46" s="30" t="str">
        <f>"""GP"",""Ute Indian Tribe Membership Fund"",""aaa_contract_detail_sp"",""JRNENTRY"",""1619744"",""aaGLHdrID"",""1787888"",""aaGLDistID"",""16"",""aaGLAssignID"",""1"",""contract"",""3440 FY2025 TITLE 1 URHS"""</f>
        <v>"GP","Ute Indian Tribe Membership Fund","aaa_contract_detail_sp","JRNENTRY","1619744","aaGLHdrID","1787888","aaGLDistID","16","aaGLAssignID","1","contract","3440 FY2025 TITLE 1 URHS"</v>
      </c>
      <c r="L46" s="42">
        <v>45883</v>
      </c>
      <c r="M46" s="30">
        <v>1619744</v>
      </c>
      <c r="N46" s="30" t="str">
        <f>""</f>
        <v/>
      </c>
      <c r="O46" s="30" t="str">
        <f>""</f>
        <v/>
      </c>
      <c r="P46" s="30" t="str">
        <f>""</f>
        <v/>
      </c>
      <c r="Q46" s="43" t="str">
        <f>""</f>
        <v/>
      </c>
      <c r="R46" s="44">
        <v>142.5</v>
      </c>
      <c r="S46" s="44">
        <v>0</v>
      </c>
      <c r="T46" s="45">
        <f t="shared" si="4"/>
        <v>142.5</v>
      </c>
    </row>
    <row r="47" spans="1:20" s="30" customFormat="1" x14ac:dyDescent="0.25">
      <c r="A47" s="24" t="s">
        <v>24</v>
      </c>
      <c r="B47" s="40"/>
      <c r="C47" s="40"/>
      <c r="D47" s="24"/>
      <c r="E47" s="24"/>
      <c r="F47" s="40" t="e">
        <f>#REF!</f>
        <v>#REF!</v>
      </c>
      <c r="G47" s="40" t="e">
        <f>#REF!</f>
        <v>#REF!</v>
      </c>
      <c r="H47" s="41"/>
    </row>
    <row r="48" spans="1:20" s="30" customFormat="1" x14ac:dyDescent="0.25">
      <c r="A48" s="24" t="s">
        <v>24</v>
      </c>
      <c r="B48" s="24"/>
      <c r="C48" s="24"/>
      <c r="D48" s="24"/>
      <c r="E48" s="24"/>
      <c r="F48" s="24"/>
      <c r="G48" s="24"/>
      <c r="H48" s="29"/>
      <c r="I48" s="53" t="str">
        <f>I42&amp;"   "&amp;J42&amp;"         Total:"</f>
        <v>5021-0-6120-3440   Fringe Benefits - Retirement         Total:</v>
      </c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46">
        <f>SUBTOTAL(9,T43:T47)</f>
        <v>561.39</v>
      </c>
    </row>
    <row r="49" spans="1:20" s="30" customFormat="1" x14ac:dyDescent="0.25">
      <c r="A49" s="24" t="s">
        <v>24</v>
      </c>
      <c r="B49" s="24"/>
      <c r="C49" s="24"/>
      <c r="D49" s="24"/>
      <c r="E49" s="24"/>
      <c r="F49" s="24"/>
      <c r="G49" s="24"/>
      <c r="H49" s="29"/>
    </row>
    <row r="50" spans="1:20" s="30" customFormat="1" x14ac:dyDescent="0.25">
      <c r="A50" s="24" t="s">
        <v>24</v>
      </c>
      <c r="B50" s="24"/>
      <c r="C50" s="24"/>
      <c r="D50" s="24"/>
      <c r="E50" s="24"/>
      <c r="F50" s="24"/>
      <c r="G50" s="24"/>
      <c r="H50" s="29"/>
    </row>
    <row r="51" spans="1:20" s="30" customFormat="1" ht="15.75" hidden="1" thickBot="1" x14ac:dyDescent="0.3">
      <c r="A51" s="24" t="s">
        <v>1</v>
      </c>
      <c r="B51" s="24"/>
      <c r="C51" s="24"/>
      <c r="D51" s="24"/>
      <c r="E51" s="24"/>
      <c r="F51" s="24"/>
      <c r="G51" s="24"/>
      <c r="H51" s="29"/>
      <c r="I51" s="52" t="s">
        <v>25</v>
      </c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47" t="e">
        <f>SUBTOTAL(9,#REF!)</f>
        <v>#REF!</v>
      </c>
    </row>
    <row r="52" spans="1:20" s="30" customFormat="1" x14ac:dyDescent="0.25">
      <c r="A52" s="24"/>
      <c r="B52" s="24"/>
      <c r="C52" s="24"/>
      <c r="D52" s="24"/>
      <c r="E52" s="24"/>
      <c r="F52" s="24"/>
      <c r="G52" s="24"/>
      <c r="H52" s="29"/>
    </row>
  </sheetData>
  <mergeCells count="6">
    <mergeCell ref="I48:S48"/>
    <mergeCell ref="I51:S51"/>
    <mergeCell ref="I7:K7"/>
    <mergeCell ref="I8:M8"/>
    <mergeCell ref="I24:S24"/>
    <mergeCell ref="I39:S39"/>
  </mergeCells>
  <pageMargins left="0.75" right="0.75" top="1" bottom="1" header="0.5" footer="0.5"/>
  <pageSetup scale="34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66"/>
  <sheetViews>
    <sheetView showGridLines="0" tabSelected="1" topLeftCell="H1" zoomScale="80" zoomScaleNormal="80" workbookViewId="0">
      <pane ySplit="15" topLeftCell="A16" activePane="bottomLeft" state="frozen"/>
      <selection pane="bottomLeft" activeCell="N23" sqref="N23"/>
    </sheetView>
  </sheetViews>
  <sheetFormatPr defaultRowHeight="15" x14ac:dyDescent="0.25"/>
  <cols>
    <col min="1" max="1" width="11.85546875" hidden="1" customWidth="1"/>
    <col min="2" max="2" width="17.85546875" hidden="1" customWidth="1"/>
    <col min="3" max="5" width="17.7109375" hidden="1" customWidth="1"/>
    <col min="6" max="6" width="9.140625" hidden="1" customWidth="1"/>
    <col min="7" max="7" width="11.140625" hidden="1" customWidth="1"/>
    <col min="8" max="8" width="2.140625" customWidth="1"/>
    <col min="9" max="9" width="17.42578125" bestFit="1" customWidth="1"/>
    <col min="10" max="10" width="44.140625" bestFit="1" customWidth="1"/>
    <col min="11" max="11" width="22.5703125" hidden="1" customWidth="1"/>
    <col min="12" max="12" width="17.85546875" bestFit="1" customWidth="1"/>
    <col min="13" max="13" width="12.140625" bestFit="1" customWidth="1"/>
    <col min="14" max="14" width="43.85546875" bestFit="1" customWidth="1"/>
    <col min="15" max="15" width="23.42578125" bestFit="1" customWidth="1"/>
    <col min="16" max="16" width="29.140625" bestFit="1" customWidth="1"/>
    <col min="17" max="17" width="16.42578125" bestFit="1" customWidth="1"/>
    <col min="18" max="18" width="14.85546875" bestFit="1" customWidth="1"/>
    <col min="19" max="19" width="15.85546875" bestFit="1" customWidth="1"/>
    <col min="20" max="20" width="14.85546875" bestFit="1" customWidth="1"/>
  </cols>
  <sheetData>
    <row r="1" spans="1:20" s="24" customFormat="1" ht="12.75" hidden="1" x14ac:dyDescent="0.2">
      <c r="A1" s="24" t="s">
        <v>27</v>
      </c>
      <c r="B1" s="25" t="s">
        <v>1</v>
      </c>
      <c r="C1" s="25" t="s">
        <v>1</v>
      </c>
      <c r="D1" s="25" t="s">
        <v>1</v>
      </c>
      <c r="E1" s="25" t="s">
        <v>1</v>
      </c>
      <c r="F1" s="25" t="s">
        <v>1</v>
      </c>
      <c r="G1" s="25" t="s">
        <v>1</v>
      </c>
      <c r="H1" s="25"/>
      <c r="I1" s="24" t="s">
        <v>2</v>
      </c>
      <c r="J1" s="24" t="s">
        <v>2</v>
      </c>
      <c r="K1" s="24" t="s">
        <v>1</v>
      </c>
      <c r="L1" s="24" t="s">
        <v>2</v>
      </c>
      <c r="M1" s="24" t="s">
        <v>2</v>
      </c>
      <c r="N1" s="24" t="s">
        <v>2</v>
      </c>
      <c r="O1" s="24" t="s">
        <v>2</v>
      </c>
      <c r="P1" s="24" t="s">
        <v>2</v>
      </c>
      <c r="Q1" s="24" t="s">
        <v>2</v>
      </c>
      <c r="R1" s="24" t="s">
        <v>2</v>
      </c>
      <c r="S1" s="24" t="s">
        <v>2</v>
      </c>
      <c r="T1" s="24" t="s">
        <v>2</v>
      </c>
    </row>
    <row r="2" spans="1:20" s="24" customFormat="1" hidden="1" x14ac:dyDescent="0.25">
      <c r="A2" s="24" t="s">
        <v>1</v>
      </c>
      <c r="B2" s="24" t="s">
        <v>3</v>
      </c>
      <c r="C2" s="26">
        <f ca="1">DATE(IF(MONTH(TODAY())&gt;=10,YEAR(TODAY()),YEAR(TODAY())-1),10,1)</f>
        <v>45566</v>
      </c>
      <c r="D2" s="27"/>
      <c r="E2" s="27"/>
      <c r="F2" s="27"/>
      <c r="G2" s="27"/>
      <c r="H2" s="27"/>
    </row>
    <row r="3" spans="1:20" s="24" customFormat="1" hidden="1" x14ac:dyDescent="0.25">
      <c r="A3" s="24" t="s">
        <v>1</v>
      </c>
      <c r="B3" s="24" t="s">
        <v>4</v>
      </c>
      <c r="C3" s="26">
        <f ca="1">EOMONTH(TODAY(),0)</f>
        <v>45930</v>
      </c>
      <c r="D3" s="27"/>
      <c r="E3" s="27"/>
      <c r="F3" s="27"/>
      <c r="G3" s="27"/>
      <c r="H3" s="27"/>
    </row>
    <row r="4" spans="1:20" s="24" customFormat="1" ht="12.75" hidden="1" x14ac:dyDescent="0.2">
      <c r="A4" s="25" t="s">
        <v>1</v>
      </c>
      <c r="B4" s="24" t="s">
        <v>5</v>
      </c>
      <c r="C4" s="28" t="str">
        <f>DateFilter</f>
        <v>..9/30/2020</v>
      </c>
      <c r="D4" s="28"/>
      <c r="E4" s="28"/>
      <c r="F4" s="28"/>
      <c r="G4" s="28"/>
      <c r="H4" s="28"/>
    </row>
    <row r="5" spans="1:20" s="24" customFormat="1" ht="12.75" x14ac:dyDescent="0.2">
      <c r="A5" s="25"/>
      <c r="B5" s="24" t="s">
        <v>28</v>
      </c>
      <c r="C5" s="28" t="str">
        <f>Grant</f>
        <v>3460 92 URHS FY2025</v>
      </c>
      <c r="D5" s="28"/>
      <c r="E5" s="28"/>
      <c r="F5" s="28"/>
      <c r="G5" s="28"/>
      <c r="H5" s="28"/>
    </row>
    <row r="6" spans="1:20" x14ac:dyDescent="0.25">
      <c r="A6" s="24"/>
      <c r="B6" s="24" t="s">
        <v>29</v>
      </c>
      <c r="C6" s="28" t="str">
        <f>Grant</f>
        <v>3460 92 URHS FY2025</v>
      </c>
      <c r="D6" s="28"/>
      <c r="E6" s="28"/>
      <c r="F6" s="24"/>
      <c r="G6" s="24"/>
      <c r="H6" s="29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spans="1:20" ht="23.25" x14ac:dyDescent="0.35">
      <c r="A7" s="24"/>
      <c r="B7" s="24" t="s">
        <v>7</v>
      </c>
      <c r="C7" s="28"/>
      <c r="D7" s="28"/>
      <c r="E7" s="28"/>
      <c r="F7" s="24"/>
      <c r="G7" s="24"/>
      <c r="H7" s="29"/>
      <c r="I7" s="54" t="s">
        <v>31</v>
      </c>
      <c r="J7" s="54"/>
      <c r="K7" s="54"/>
      <c r="L7" s="54"/>
      <c r="M7" s="54"/>
      <c r="N7" s="54"/>
      <c r="O7" s="30"/>
      <c r="P7" s="30"/>
      <c r="Q7" s="30"/>
      <c r="R7" s="30"/>
      <c r="S7" s="30"/>
      <c r="T7" s="30"/>
    </row>
    <row r="8" spans="1:20" x14ac:dyDescent="0.25">
      <c r="A8" s="24"/>
      <c r="B8" s="24" t="s">
        <v>9</v>
      </c>
      <c r="C8" s="28"/>
      <c r="D8" s="28"/>
      <c r="E8" s="28"/>
      <c r="F8" s="24"/>
      <c r="G8" s="24"/>
      <c r="H8" s="29"/>
      <c r="I8" s="55" t="str">
        <f ca="1">"For the Period of "&amp;TEXT($C$2,"MMMM D, YYYY")&amp;" through "&amp;TEXT($C$3,"MMMM D, YYYY")</f>
        <v>For the Period of October 1, 2024 through September 30, 2025</v>
      </c>
      <c r="J8" s="55"/>
      <c r="K8" s="55"/>
      <c r="L8" s="55"/>
      <c r="M8" s="55"/>
      <c r="N8" s="30"/>
      <c r="O8" s="30"/>
      <c r="P8" s="30"/>
      <c r="Q8" s="30"/>
      <c r="R8" s="30"/>
      <c r="S8" s="30"/>
      <c r="T8" s="30"/>
    </row>
    <row r="9" spans="1:20" x14ac:dyDescent="0.25">
      <c r="A9" s="24"/>
      <c r="B9" s="24" t="s">
        <v>10</v>
      </c>
      <c r="C9" s="31" t="str">
        <f ca="1">YEAR($C$2)&amp;"/0"</f>
        <v>2024/0</v>
      </c>
      <c r="D9" s="28"/>
      <c r="E9" s="28"/>
      <c r="F9" s="24"/>
      <c r="G9" s="24"/>
      <c r="H9" s="29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spans="1:20" x14ac:dyDescent="0.25">
      <c r="A10" s="24"/>
      <c r="B10" s="24" t="s">
        <v>11</v>
      </c>
      <c r="C10" s="24"/>
      <c r="D10" s="31"/>
      <c r="E10" s="31"/>
      <c r="F10" s="24"/>
      <c r="G10" s="24"/>
      <c r="H10" s="29"/>
      <c r="I10" s="30" t="str">
        <f>B6</f>
        <v>Contract</v>
      </c>
      <c r="J10" s="32" t="str">
        <f>C6</f>
        <v>3460 92 URHS FY2025</v>
      </c>
      <c r="K10" s="33"/>
      <c r="L10" s="32"/>
      <c r="M10" s="30"/>
      <c r="N10" s="30"/>
      <c r="O10" s="30"/>
      <c r="P10" s="30"/>
      <c r="Q10" s="30"/>
      <c r="R10" s="30"/>
      <c r="S10" s="30"/>
      <c r="T10" s="30"/>
    </row>
    <row r="11" spans="1:20" x14ac:dyDescent="0.25">
      <c r="A11" s="24"/>
      <c r="B11" s="24"/>
      <c r="C11" s="24"/>
      <c r="D11" s="24"/>
      <c r="E11" s="24"/>
      <c r="F11" s="24"/>
      <c r="G11" s="24"/>
      <c r="H11" s="29"/>
      <c r="I11" s="30" t="str">
        <f>B7</f>
        <v>Location</v>
      </c>
      <c r="J11" s="32"/>
      <c r="K11" s="30"/>
      <c r="L11" s="34"/>
      <c r="M11" s="30"/>
      <c r="N11" s="30"/>
      <c r="O11" s="30"/>
      <c r="P11" s="30"/>
      <c r="Q11" s="30"/>
      <c r="R11" s="30"/>
      <c r="S11" s="30"/>
      <c r="T11" s="30"/>
    </row>
    <row r="12" spans="1:20" x14ac:dyDescent="0.25">
      <c r="A12" s="24"/>
      <c r="B12" s="24"/>
      <c r="C12" s="24"/>
      <c r="D12" s="24"/>
      <c r="E12" s="24"/>
      <c r="F12" s="24"/>
      <c r="G12" s="24"/>
      <c r="H12" s="29"/>
      <c r="I12" s="30" t="str">
        <f>B8</f>
        <v>Company</v>
      </c>
      <c r="J12" s="32"/>
      <c r="K12" s="30"/>
      <c r="L12" s="30"/>
      <c r="M12" s="30"/>
      <c r="N12" s="30"/>
      <c r="O12" s="30"/>
      <c r="P12" s="30"/>
      <c r="Q12" s="30"/>
      <c r="R12" s="35" t="s">
        <v>12</v>
      </c>
      <c r="S12" s="36">
        <v>45885</v>
      </c>
      <c r="T12" s="30"/>
    </row>
    <row r="15" spans="1:20" x14ac:dyDescent="0.25">
      <c r="A15" s="24"/>
      <c r="B15" s="24"/>
      <c r="C15" s="24"/>
      <c r="D15" s="24"/>
      <c r="E15" s="24"/>
      <c r="F15" s="24"/>
      <c r="G15" s="24"/>
      <c r="H15" s="29"/>
      <c r="I15" s="37" t="s">
        <v>13</v>
      </c>
      <c r="J15" s="37" t="s">
        <v>14</v>
      </c>
      <c r="K15" s="37"/>
      <c r="L15" s="37" t="s">
        <v>15</v>
      </c>
      <c r="M15" s="37" t="s">
        <v>16</v>
      </c>
      <c r="N15" s="37" t="s">
        <v>17</v>
      </c>
      <c r="O15" s="37" t="s">
        <v>18</v>
      </c>
      <c r="P15" s="37" t="s">
        <v>19</v>
      </c>
      <c r="Q15" s="37" t="s">
        <v>30</v>
      </c>
      <c r="R15" s="37" t="s">
        <v>21</v>
      </c>
      <c r="S15" s="37" t="s">
        <v>22</v>
      </c>
      <c r="T15" s="37" t="s">
        <v>23</v>
      </c>
    </row>
    <row r="16" spans="1:20" s="30" customFormat="1" ht="12.75" x14ac:dyDescent="0.2">
      <c r="A16" s="24" t="s">
        <v>24</v>
      </c>
      <c r="B16" s="24"/>
      <c r="C16" s="24"/>
      <c r="D16" s="24"/>
      <c r="E16" s="24"/>
      <c r="F16" s="24"/>
      <c r="G16" s="24"/>
      <c r="H16" s="29"/>
    </row>
    <row r="17" spans="1:20" s="30" customFormat="1" x14ac:dyDescent="0.25">
      <c r="A17" s="24" t="s">
        <v>24</v>
      </c>
      <c r="B17" s="24"/>
      <c r="C17" s="24"/>
      <c r="D17" s="24"/>
      <c r="E17" s="24"/>
      <c r="F17" s="24"/>
      <c r="G17" s="24"/>
      <c r="H17" s="29"/>
    </row>
    <row r="18" spans="1:20" s="30" customFormat="1" ht="12.75" x14ac:dyDescent="0.2">
      <c r="A18" s="24" t="s">
        <v>24</v>
      </c>
      <c r="B18" s="24"/>
      <c r="C18" s="24"/>
      <c r="D18" s="24"/>
      <c r="E18" s="24"/>
      <c r="F18" s="24" t="str">
        <f>"5021-0-6100-3460"</f>
        <v>5021-0-6100-3460</v>
      </c>
      <c r="G18" s="24" t="str">
        <f>"5021-0-6100-3460"</f>
        <v>5021-0-6100-3460</v>
      </c>
      <c r="H18" s="29"/>
      <c r="I18" s="38" t="str">
        <f>G18</f>
        <v>5021-0-6100-3460</v>
      </c>
      <c r="J18" s="38" t="str">
        <f>"Salaries and Wages"</f>
        <v>Salaries and Wages</v>
      </c>
      <c r="Q18" s="38"/>
      <c r="R18" s="39"/>
    </row>
    <row r="19" spans="1:20" s="30" customFormat="1" x14ac:dyDescent="0.25">
      <c r="A19" s="24" t="s">
        <v>24</v>
      </c>
      <c r="B19" s="40"/>
      <c r="C19" s="40"/>
      <c r="D19" s="24"/>
      <c r="E19" s="24"/>
      <c r="F19" s="40" t="e">
        <f>#REF!</f>
        <v>#REF!</v>
      </c>
      <c r="G19" s="40" t="e">
        <f>#REF!</f>
        <v>#REF!</v>
      </c>
      <c r="H19" s="41"/>
      <c r="K19" s="30" t="str">
        <f>"""GP"",""Ute Indian Tribe Membership Fund"",""aaa_contract_detail_sp"",""JRNENTRY"",""1612359"",""aaGLHdrID"",""1781970"",""aaGLDistID"",""15"",""aaGLAssignID"",""1"",""contract"",""3460 92 URHS FY2025"""</f>
        <v>"GP","Ute Indian Tribe Membership Fund","aaa_contract_detail_sp","JRNENTRY","1612359","aaGLHdrID","1781970","aaGLDistID","15","aaGLAssignID","1","contract","3460 92 URHS FY2025"</v>
      </c>
      <c r="L19" s="42">
        <v>45840</v>
      </c>
      <c r="M19" s="30">
        <v>1612359</v>
      </c>
      <c r="N19" s="30" t="str">
        <f>""</f>
        <v/>
      </c>
      <c r="O19" s="30" t="str">
        <f>""</f>
        <v/>
      </c>
      <c r="P19" s="30" t="str">
        <f>""</f>
        <v/>
      </c>
      <c r="Q19" s="43" t="str">
        <f>""</f>
        <v/>
      </c>
      <c r="R19" s="44">
        <v>2386.56</v>
      </c>
      <c r="S19" s="44">
        <v>0</v>
      </c>
      <c r="T19" s="45">
        <f t="shared" ref="T19:T40" si="0">SUM(R19:S19)</f>
        <v>2386.56</v>
      </c>
    </row>
    <row r="20" spans="1:20" s="30" customFormat="1" x14ac:dyDescent="0.25">
      <c r="A20" s="24" t="s">
        <v>24</v>
      </c>
      <c r="B20" s="40"/>
      <c r="C20" s="40"/>
      <c r="D20" s="24"/>
      <c r="E20" s="24"/>
      <c r="F20" s="40" t="e">
        <f t="shared" ref="F20:G40" si="1">F19</f>
        <v>#REF!</v>
      </c>
      <c r="G20" s="40" t="e">
        <f t="shared" si="1"/>
        <v>#REF!</v>
      </c>
      <c r="H20" s="41"/>
      <c r="K20" s="30" t="str">
        <f>"""GP"",""Ute Indian Tribe Membership Fund"",""aaa_contract_detail_sp"",""JRNENTRY"",""1612424"",""aaGLHdrID"",""1782035"",""aaGLDistID"",""16"",""aaGLAssignID"",""1"",""contract"",""3460 92 URHS FY2025"""</f>
        <v>"GP","Ute Indian Tribe Membership Fund","aaa_contract_detail_sp","JRNENTRY","1612424","aaGLHdrID","1782035","aaGLDistID","16","aaGLAssignID","1","contract","3460 92 URHS FY2025"</v>
      </c>
      <c r="L20" s="42">
        <v>45840</v>
      </c>
      <c r="M20" s="30">
        <v>1612424</v>
      </c>
      <c r="N20" s="30" t="str">
        <f>""</f>
        <v/>
      </c>
      <c r="O20" s="30" t="str">
        <f>""</f>
        <v/>
      </c>
      <c r="P20" s="30" t="str">
        <f>""</f>
        <v/>
      </c>
      <c r="Q20" s="43" t="str">
        <f>""</f>
        <v/>
      </c>
      <c r="R20" s="44">
        <v>2966.4</v>
      </c>
      <c r="S20" s="44">
        <v>0</v>
      </c>
      <c r="T20" s="45">
        <f t="shared" si="0"/>
        <v>2966.4</v>
      </c>
    </row>
    <row r="21" spans="1:20" s="30" customFormat="1" x14ac:dyDescent="0.25">
      <c r="A21" s="24" t="s">
        <v>24</v>
      </c>
      <c r="B21" s="40"/>
      <c r="C21" s="40"/>
      <c r="D21" s="24"/>
      <c r="E21" s="24"/>
      <c r="F21" s="40" t="e">
        <f t="shared" si="1"/>
        <v>#REF!</v>
      </c>
      <c r="G21" s="40" t="e">
        <f t="shared" si="1"/>
        <v>#REF!</v>
      </c>
      <c r="H21" s="41"/>
      <c r="K21" s="30" t="str">
        <f>"""GP"",""Ute Indian Tribe Membership Fund"",""aaa_contract_detail_sp"",""JRNENTRY"",""1612511"",""aaGLHdrID"",""1782121"",""aaGLDistID"",""15"",""aaGLAssignID"",""1"",""contract"",""3460 92 URHS FY2025"""</f>
        <v>"GP","Ute Indian Tribe Membership Fund","aaa_contract_detail_sp","JRNENTRY","1612511","aaGLHdrID","1782121","aaGLDistID","15","aaGLAssignID","1","contract","3460 92 URHS FY2025"</v>
      </c>
      <c r="L21" s="42">
        <v>45840</v>
      </c>
      <c r="M21" s="30">
        <v>1612511</v>
      </c>
      <c r="N21" s="30" t="str">
        <f>""</f>
        <v/>
      </c>
      <c r="O21" s="30" t="str">
        <f>""</f>
        <v/>
      </c>
      <c r="P21" s="30" t="str">
        <f>""</f>
        <v/>
      </c>
      <c r="Q21" s="43" t="str">
        <f>""</f>
        <v/>
      </c>
      <c r="R21" s="44">
        <v>3217.92</v>
      </c>
      <c r="S21" s="44">
        <v>0</v>
      </c>
      <c r="T21" s="45">
        <f t="shared" si="0"/>
        <v>3217.92</v>
      </c>
    </row>
    <row r="22" spans="1:20" s="30" customFormat="1" x14ac:dyDescent="0.25">
      <c r="A22" s="24" t="s">
        <v>24</v>
      </c>
      <c r="B22" s="40"/>
      <c r="C22" s="40"/>
      <c r="D22" s="24"/>
      <c r="E22" s="24"/>
      <c r="F22" s="40" t="e">
        <f t="shared" si="1"/>
        <v>#REF!</v>
      </c>
      <c r="G22" s="40" t="e">
        <f t="shared" si="1"/>
        <v>#REF!</v>
      </c>
      <c r="H22" s="41"/>
      <c r="K22" s="30" t="str">
        <f>"""GP"",""Ute Indian Tribe Membership Fund"",""aaa_contract_detail_sp"",""JRNENTRY"",""1612515"",""aaGLHdrID"",""1782125"",""aaGLDistID"",""16"",""aaGLAssignID"",""1"",""contract"",""3460 92 URHS FY2025"""</f>
        <v>"GP","Ute Indian Tribe Membership Fund","aaa_contract_detail_sp","JRNENTRY","1612515","aaGLHdrID","1782125","aaGLDistID","16","aaGLAssignID","1","contract","3460 92 URHS FY2025"</v>
      </c>
      <c r="L22" s="42">
        <v>45840</v>
      </c>
      <c r="M22" s="30">
        <v>1612515</v>
      </c>
      <c r="N22" s="30" t="str">
        <f>""</f>
        <v/>
      </c>
      <c r="O22" s="30" t="str">
        <f>""</f>
        <v/>
      </c>
      <c r="P22" s="30" t="str">
        <f>""</f>
        <v/>
      </c>
      <c r="Q22" s="43" t="str">
        <f>""</f>
        <v/>
      </c>
      <c r="R22" s="44">
        <v>3992.32</v>
      </c>
      <c r="S22" s="44">
        <v>0</v>
      </c>
      <c r="T22" s="45">
        <f t="shared" si="0"/>
        <v>3992.32</v>
      </c>
    </row>
    <row r="23" spans="1:20" s="30" customFormat="1" x14ac:dyDescent="0.25">
      <c r="A23" s="24" t="s">
        <v>24</v>
      </c>
      <c r="B23" s="40"/>
      <c r="C23" s="40"/>
      <c r="D23" s="24"/>
      <c r="E23" s="24"/>
      <c r="F23" s="40" t="e">
        <f t="shared" si="1"/>
        <v>#REF!</v>
      </c>
      <c r="G23" s="40" t="e">
        <f t="shared" si="1"/>
        <v>#REF!</v>
      </c>
      <c r="H23" s="41"/>
      <c r="K23" s="30" t="str">
        <f>"""GP"",""Ute Indian Tribe Membership Fund"",""aaa_contract_detail_sp"",""JRNENTRY"",""1612562"",""aaGLHdrID"",""1782172"",""aaGLDistID"",""14"",""aaGLAssignID"",""1"",""contract"",""3460 92 URHS FY2025"""</f>
        <v>"GP","Ute Indian Tribe Membership Fund","aaa_contract_detail_sp","JRNENTRY","1612562","aaGLHdrID","1782172","aaGLDistID","14","aaGLAssignID","1","contract","3460 92 URHS FY2025"</v>
      </c>
      <c r="L23" s="42">
        <v>45840</v>
      </c>
      <c r="M23" s="30">
        <v>1612562</v>
      </c>
      <c r="N23" s="30" t="str">
        <f>""</f>
        <v/>
      </c>
      <c r="O23" s="30" t="str">
        <f>""</f>
        <v/>
      </c>
      <c r="P23" s="30" t="str">
        <f>""</f>
        <v/>
      </c>
      <c r="Q23" s="43" t="str">
        <f>""</f>
        <v/>
      </c>
      <c r="R23" s="44">
        <v>2754.56</v>
      </c>
      <c r="S23" s="44">
        <v>0</v>
      </c>
      <c r="T23" s="45">
        <f t="shared" si="0"/>
        <v>2754.56</v>
      </c>
    </row>
    <row r="24" spans="1:20" s="30" customFormat="1" x14ac:dyDescent="0.25">
      <c r="A24" s="24" t="s">
        <v>24</v>
      </c>
      <c r="B24" s="40"/>
      <c r="C24" s="40"/>
      <c r="D24" s="24"/>
      <c r="E24" s="24"/>
      <c r="F24" s="40" t="e">
        <f t="shared" si="1"/>
        <v>#REF!</v>
      </c>
      <c r="G24" s="40" t="e">
        <f t="shared" si="1"/>
        <v>#REF!</v>
      </c>
      <c r="H24" s="41"/>
      <c r="K24" s="30" t="str">
        <f>"""GP"",""Ute Indian Tribe Membership Fund"",""aaa_contract_detail_sp"",""JRNENTRY"",""1612563"",""aaGLHdrID"",""1782173"",""aaGLDistID"",""13"",""aaGLAssignID"",""1"",""contract"",""3460 92 URHS FY2025"""</f>
        <v>"GP","Ute Indian Tribe Membership Fund","aaa_contract_detail_sp","JRNENTRY","1612563","aaGLHdrID","1782173","aaGLDistID","13","aaGLAssignID","1","contract","3460 92 URHS FY2025"</v>
      </c>
      <c r="L24" s="42">
        <v>45840</v>
      </c>
      <c r="M24" s="30">
        <v>1612563</v>
      </c>
      <c r="N24" s="30" t="str">
        <f>""</f>
        <v/>
      </c>
      <c r="O24" s="30" t="str">
        <f>""</f>
        <v/>
      </c>
      <c r="P24" s="30" t="str">
        <f>""</f>
        <v/>
      </c>
      <c r="Q24" s="43" t="str">
        <f>""</f>
        <v/>
      </c>
      <c r="R24" s="44">
        <v>2847.36</v>
      </c>
      <c r="S24" s="44">
        <v>0</v>
      </c>
      <c r="T24" s="45">
        <f t="shared" si="0"/>
        <v>2847.36</v>
      </c>
    </row>
    <row r="25" spans="1:20" s="30" customFormat="1" x14ac:dyDescent="0.25">
      <c r="A25" s="24" t="s">
        <v>24</v>
      </c>
      <c r="B25" s="40"/>
      <c r="C25" s="40"/>
      <c r="D25" s="24"/>
      <c r="E25" s="24"/>
      <c r="F25" s="40" t="e">
        <f t="shared" si="1"/>
        <v>#REF!</v>
      </c>
      <c r="G25" s="40" t="e">
        <f t="shared" si="1"/>
        <v>#REF!</v>
      </c>
      <c r="H25" s="41"/>
      <c r="K25" s="30" t="str">
        <f>"""GP"",""Ute Indian Tribe Membership Fund"",""aaa_contract_detail_sp"",""JRNENTRY"",""1612680"",""aaGLHdrID"",""1782290"",""aaGLDistID"",""13"",""aaGLAssignID"",""1"",""contract"",""3460 92 URHS FY2025"""</f>
        <v>"GP","Ute Indian Tribe Membership Fund","aaa_contract_detail_sp","JRNENTRY","1612680","aaGLHdrID","1782290","aaGLDistID","13","aaGLAssignID","1","contract","3460 92 URHS FY2025"</v>
      </c>
      <c r="L25" s="42">
        <v>45840</v>
      </c>
      <c r="M25" s="30">
        <v>1612680</v>
      </c>
      <c r="N25" s="30" t="str">
        <f>""</f>
        <v/>
      </c>
      <c r="O25" s="30" t="str">
        <f>""</f>
        <v/>
      </c>
      <c r="P25" s="30" t="str">
        <f>""</f>
        <v/>
      </c>
      <c r="Q25" s="43" t="str">
        <f>""</f>
        <v/>
      </c>
      <c r="R25" s="44">
        <v>2609.2800000000002</v>
      </c>
      <c r="S25" s="44">
        <v>0</v>
      </c>
      <c r="T25" s="45">
        <f t="shared" si="0"/>
        <v>2609.2800000000002</v>
      </c>
    </row>
    <row r="26" spans="1:20" s="30" customFormat="1" x14ac:dyDescent="0.25">
      <c r="A26" s="24" t="s">
        <v>24</v>
      </c>
      <c r="B26" s="40"/>
      <c r="C26" s="40"/>
      <c r="D26" s="24"/>
      <c r="E26" s="24"/>
      <c r="F26" s="40" t="e">
        <f t="shared" si="1"/>
        <v>#REF!</v>
      </c>
      <c r="G26" s="40" t="e">
        <f t="shared" si="1"/>
        <v>#REF!</v>
      </c>
      <c r="H26" s="41"/>
      <c r="K26" s="30" t="str">
        <f>"""GP"",""Ute Indian Tribe Membership Fund"",""aaa_contract_detail_sp"",""JRNENTRY"",""1612757"",""aaGLHdrID"",""1782367"",""aaGLDistID"",""12"",""aaGLAssignID"",""1"",""contract"",""3460 92 URHS FY2025"""</f>
        <v>"GP","Ute Indian Tribe Membership Fund","aaa_contract_detail_sp","JRNENTRY","1612757","aaGLHdrID","1782367","aaGLDistID","12","aaGLAssignID","1","contract","3460 92 URHS FY2025"</v>
      </c>
      <c r="L26" s="42">
        <v>45840</v>
      </c>
      <c r="M26" s="30">
        <v>1612757</v>
      </c>
      <c r="N26" s="30" t="str">
        <f>""</f>
        <v/>
      </c>
      <c r="O26" s="30" t="str">
        <f>""</f>
        <v/>
      </c>
      <c r="P26" s="30" t="str">
        <f>""</f>
        <v/>
      </c>
      <c r="Q26" s="43" t="str">
        <f>""</f>
        <v/>
      </c>
      <c r="R26" s="44">
        <v>1511.04</v>
      </c>
      <c r="S26" s="44">
        <v>0</v>
      </c>
      <c r="T26" s="45">
        <f t="shared" si="0"/>
        <v>1511.04</v>
      </c>
    </row>
    <row r="27" spans="1:20" s="30" customFormat="1" x14ac:dyDescent="0.25">
      <c r="A27" s="24" t="s">
        <v>24</v>
      </c>
      <c r="B27" s="40"/>
      <c r="C27" s="40"/>
      <c r="D27" s="24"/>
      <c r="E27" s="24"/>
      <c r="F27" s="40" t="e">
        <f t="shared" si="1"/>
        <v>#REF!</v>
      </c>
      <c r="G27" s="40" t="e">
        <f t="shared" si="1"/>
        <v>#REF!</v>
      </c>
      <c r="H27" s="41"/>
      <c r="K27" s="30" t="str">
        <f>"""GP"",""Ute Indian Tribe Membership Fund"",""aaa_contract_detail_sp"",""JRNENTRY"",""1612760"",""aaGLHdrID"",""1782370"",""aaGLDistID"",""15"",""aaGLAssignID"",""1"",""contract"",""3460 92 URHS FY2025"""</f>
        <v>"GP","Ute Indian Tribe Membership Fund","aaa_contract_detail_sp","JRNENTRY","1612760","aaGLHdrID","1782370","aaGLDistID","15","aaGLAssignID","1","contract","3460 92 URHS FY2025"</v>
      </c>
      <c r="L27" s="42">
        <v>45840</v>
      </c>
      <c r="M27" s="30">
        <v>1612760</v>
      </c>
      <c r="N27" s="30" t="str">
        <f>""</f>
        <v/>
      </c>
      <c r="O27" s="30" t="str">
        <f>""</f>
        <v/>
      </c>
      <c r="P27" s="30" t="str">
        <f>""</f>
        <v/>
      </c>
      <c r="Q27" s="43" t="str">
        <f>""</f>
        <v/>
      </c>
      <c r="R27" s="44">
        <v>1630.72</v>
      </c>
      <c r="S27" s="44">
        <v>0</v>
      </c>
      <c r="T27" s="45">
        <f t="shared" si="0"/>
        <v>1630.72</v>
      </c>
    </row>
    <row r="28" spans="1:20" s="30" customFormat="1" x14ac:dyDescent="0.25">
      <c r="A28" s="24" t="s">
        <v>24</v>
      </c>
      <c r="B28" s="40"/>
      <c r="C28" s="40"/>
      <c r="D28" s="24"/>
      <c r="E28" s="24"/>
      <c r="F28" s="40" t="e">
        <f t="shared" si="1"/>
        <v>#REF!</v>
      </c>
      <c r="G28" s="40" t="e">
        <f t="shared" si="1"/>
        <v>#REF!</v>
      </c>
      <c r="H28" s="41"/>
      <c r="K28" s="30" t="str">
        <f>"""GP"",""Ute Indian Tribe Membership Fund"",""aaa_contract_detail_sp"",""JRNENTRY"",""1614772"",""aaGLHdrID"",""1782645"",""aaGLDistID"",""15"",""aaGLAssignID"",""1"",""contract"",""3460 92 URHS FY2025"""</f>
        <v>"GP","Ute Indian Tribe Membership Fund","aaa_contract_detail_sp","JRNENTRY","1614772","aaGLHdrID","1782645","aaGLDistID","15","aaGLAssignID","1","contract","3460 92 URHS FY2025"</v>
      </c>
      <c r="L28" s="42">
        <v>45855</v>
      </c>
      <c r="M28" s="30">
        <v>1614772</v>
      </c>
      <c r="N28" s="30" t="str">
        <f>""</f>
        <v/>
      </c>
      <c r="O28" s="30" t="str">
        <f>""</f>
        <v/>
      </c>
      <c r="P28" s="30" t="str">
        <f>""</f>
        <v/>
      </c>
      <c r="Q28" s="43" t="str">
        <f>""</f>
        <v/>
      </c>
      <c r="R28" s="44">
        <v>2410.2399999999998</v>
      </c>
      <c r="S28" s="44">
        <v>0</v>
      </c>
      <c r="T28" s="45">
        <f t="shared" si="0"/>
        <v>2410.2399999999998</v>
      </c>
    </row>
    <row r="29" spans="1:20" s="30" customFormat="1" x14ac:dyDescent="0.25">
      <c r="A29" s="24" t="s">
        <v>24</v>
      </c>
      <c r="B29" s="40"/>
      <c r="C29" s="40"/>
      <c r="D29" s="24"/>
      <c r="E29" s="24"/>
      <c r="F29" s="40" t="e">
        <f t="shared" si="1"/>
        <v>#REF!</v>
      </c>
      <c r="G29" s="40" t="e">
        <f t="shared" si="1"/>
        <v>#REF!</v>
      </c>
      <c r="H29" s="41"/>
      <c r="K29" s="30" t="str">
        <f>"""GP"",""Ute Indian Tribe Membership Fund"",""aaa_contract_detail_sp"",""JRNENTRY"",""1614838"",""aaGLHdrID"",""1782711"",""aaGLDistID"",""16"",""aaGLAssignID"",""1"",""contract"",""3460 92 URHS FY2025"""</f>
        <v>"GP","Ute Indian Tribe Membership Fund","aaa_contract_detail_sp","JRNENTRY","1614838","aaGLHdrID","1782711","aaGLDistID","16","aaGLAssignID","1","contract","3460 92 URHS FY2025"</v>
      </c>
      <c r="L29" s="42">
        <v>45855</v>
      </c>
      <c r="M29" s="30">
        <v>1614838</v>
      </c>
      <c r="N29" s="30" t="str">
        <f>""</f>
        <v/>
      </c>
      <c r="O29" s="30" t="str">
        <f>""</f>
        <v/>
      </c>
      <c r="P29" s="30" t="str">
        <f>""</f>
        <v/>
      </c>
      <c r="Q29" s="43" t="str">
        <f>""</f>
        <v/>
      </c>
      <c r="R29" s="44">
        <v>2992</v>
      </c>
      <c r="S29" s="44">
        <v>0</v>
      </c>
      <c r="T29" s="45">
        <f t="shared" si="0"/>
        <v>2992</v>
      </c>
    </row>
    <row r="30" spans="1:20" s="30" customFormat="1" x14ac:dyDescent="0.25">
      <c r="A30" s="24" t="s">
        <v>24</v>
      </c>
      <c r="B30" s="40"/>
      <c r="C30" s="40"/>
      <c r="D30" s="24"/>
      <c r="E30" s="24"/>
      <c r="F30" s="40" t="e">
        <f t="shared" si="1"/>
        <v>#REF!</v>
      </c>
      <c r="G30" s="40" t="e">
        <f t="shared" si="1"/>
        <v>#REF!</v>
      </c>
      <c r="H30" s="41"/>
      <c r="K30" s="30" t="str">
        <f>"""GP"",""Ute Indian Tribe Membership Fund"",""aaa_contract_detail_sp"",""JRNENTRY"",""1614921"",""aaGLHdrID"",""1782794"",""aaGLDistID"",""15"",""aaGLAssignID"",""1"",""contract"",""3460 92 URHS FY2025"""</f>
        <v>"GP","Ute Indian Tribe Membership Fund","aaa_contract_detail_sp","JRNENTRY","1614921","aaGLHdrID","1782794","aaGLDistID","15","aaGLAssignID","1","contract","3460 92 URHS FY2025"</v>
      </c>
      <c r="L30" s="42">
        <v>45855</v>
      </c>
      <c r="M30" s="30">
        <v>1614921</v>
      </c>
      <c r="N30" s="30" t="str">
        <f>""</f>
        <v/>
      </c>
      <c r="O30" s="30" t="str">
        <f>""</f>
        <v/>
      </c>
      <c r="P30" s="30" t="str">
        <f>""</f>
        <v/>
      </c>
      <c r="Q30" s="43" t="str">
        <f>""</f>
        <v/>
      </c>
      <c r="R30" s="44">
        <v>3242.24</v>
      </c>
      <c r="S30" s="44">
        <v>0</v>
      </c>
      <c r="T30" s="45">
        <f t="shared" si="0"/>
        <v>3242.24</v>
      </c>
    </row>
    <row r="31" spans="1:20" s="30" customFormat="1" x14ac:dyDescent="0.25">
      <c r="A31" s="24" t="s">
        <v>24</v>
      </c>
      <c r="B31" s="40"/>
      <c r="C31" s="40"/>
      <c r="D31" s="24"/>
      <c r="E31" s="24"/>
      <c r="F31" s="40" t="e">
        <f t="shared" si="1"/>
        <v>#REF!</v>
      </c>
      <c r="G31" s="40" t="e">
        <f t="shared" si="1"/>
        <v>#REF!</v>
      </c>
      <c r="H31" s="41"/>
      <c r="K31" s="30" t="str">
        <f>"""GP"",""Ute Indian Tribe Membership Fund"",""aaa_contract_detail_sp"",""JRNENTRY"",""1614921"",""aaGLHdrID"",""1782794"",""aaGLDistID"",""16"",""aaGLAssignID"",""1"",""contract"",""3460 92 URHS FY2025"""</f>
        <v>"GP","Ute Indian Tribe Membership Fund","aaa_contract_detail_sp","JRNENTRY","1614921","aaGLHdrID","1782794","aaGLDistID","16","aaGLAssignID","1","contract","3460 92 URHS FY2025"</v>
      </c>
      <c r="L31" s="42">
        <v>45855</v>
      </c>
      <c r="M31" s="30">
        <v>1614921</v>
      </c>
      <c r="N31" s="30" t="str">
        <f>""</f>
        <v/>
      </c>
      <c r="O31" s="30" t="str">
        <f>""</f>
        <v/>
      </c>
      <c r="P31" s="30" t="str">
        <f>""</f>
        <v/>
      </c>
      <c r="Q31" s="43" t="str">
        <f>""</f>
        <v/>
      </c>
      <c r="R31" s="44">
        <v>420</v>
      </c>
      <c r="S31" s="44">
        <v>0</v>
      </c>
      <c r="T31" s="45">
        <f t="shared" si="0"/>
        <v>420</v>
      </c>
    </row>
    <row r="32" spans="1:20" s="30" customFormat="1" x14ac:dyDescent="0.25">
      <c r="A32" s="24" t="s">
        <v>24</v>
      </c>
      <c r="B32" s="40"/>
      <c r="C32" s="40"/>
      <c r="D32" s="24"/>
      <c r="E32" s="24"/>
      <c r="F32" s="40" t="e">
        <f t="shared" si="1"/>
        <v>#REF!</v>
      </c>
      <c r="G32" s="40" t="e">
        <f t="shared" si="1"/>
        <v>#REF!</v>
      </c>
      <c r="H32" s="41"/>
      <c r="K32" s="30" t="str">
        <f>"""GP"",""Ute Indian Tribe Membership Fund"",""aaa_contract_detail_sp"",""JRNENTRY"",""1614925"",""aaGLHdrID"",""1782798"",""aaGLDistID"",""16"",""aaGLAssignID"",""1"",""contract"",""3460 92 URHS FY2025"""</f>
        <v>"GP","Ute Indian Tribe Membership Fund","aaa_contract_detail_sp","JRNENTRY","1614925","aaGLHdrID","1782798","aaGLDistID","16","aaGLAssignID","1","contract","3460 92 URHS FY2025"</v>
      </c>
      <c r="L32" s="42">
        <v>45855</v>
      </c>
      <c r="M32" s="30">
        <v>1614925</v>
      </c>
      <c r="N32" s="30" t="str">
        <f>""</f>
        <v/>
      </c>
      <c r="O32" s="30" t="str">
        <f>""</f>
        <v/>
      </c>
      <c r="P32" s="30" t="str">
        <f>""</f>
        <v/>
      </c>
      <c r="Q32" s="43" t="str">
        <f>""</f>
        <v/>
      </c>
      <c r="R32" s="44">
        <v>4024.32</v>
      </c>
      <c r="S32" s="44">
        <v>0</v>
      </c>
      <c r="T32" s="45">
        <f t="shared" si="0"/>
        <v>4024.32</v>
      </c>
    </row>
    <row r="33" spans="1:20" s="30" customFormat="1" x14ac:dyDescent="0.25">
      <c r="A33" s="24" t="s">
        <v>24</v>
      </c>
      <c r="B33" s="40"/>
      <c r="C33" s="40"/>
      <c r="D33" s="24"/>
      <c r="E33" s="24"/>
      <c r="F33" s="40" t="e">
        <f t="shared" si="1"/>
        <v>#REF!</v>
      </c>
      <c r="G33" s="40" t="e">
        <f t="shared" si="1"/>
        <v>#REF!</v>
      </c>
      <c r="H33" s="41"/>
      <c r="K33" s="30" t="str">
        <f>"""GP"",""Ute Indian Tribe Membership Fund"",""aaa_contract_detail_sp"",""JRNENTRY"",""1614925"",""aaGLHdrID"",""1782798"",""aaGLDistID"",""17"",""aaGLAssignID"",""1"",""contract"",""3460 92 URHS FY2025"""</f>
        <v>"GP","Ute Indian Tribe Membership Fund","aaa_contract_detail_sp","JRNENTRY","1614925","aaGLHdrID","1782798","aaGLDistID","17","aaGLAssignID","1","contract","3460 92 URHS FY2025"</v>
      </c>
      <c r="L33" s="42">
        <v>45855</v>
      </c>
      <c r="M33" s="30">
        <v>1614925</v>
      </c>
      <c r="N33" s="30" t="str">
        <f>""</f>
        <v/>
      </c>
      <c r="O33" s="30" t="str">
        <f>""</f>
        <v/>
      </c>
      <c r="P33" s="30" t="str">
        <f>""</f>
        <v/>
      </c>
      <c r="Q33" s="43" t="str">
        <f>""</f>
        <v/>
      </c>
      <c r="R33" s="44">
        <v>840</v>
      </c>
      <c r="S33" s="44">
        <v>0</v>
      </c>
      <c r="T33" s="45">
        <f t="shared" si="0"/>
        <v>840</v>
      </c>
    </row>
    <row r="34" spans="1:20" s="30" customFormat="1" x14ac:dyDescent="0.25">
      <c r="A34" s="24" t="s">
        <v>24</v>
      </c>
      <c r="B34" s="40"/>
      <c r="C34" s="40"/>
      <c r="D34" s="24"/>
      <c r="E34" s="24"/>
      <c r="F34" s="40" t="e">
        <f t="shared" si="1"/>
        <v>#REF!</v>
      </c>
      <c r="G34" s="40" t="e">
        <f t="shared" si="1"/>
        <v>#REF!</v>
      </c>
      <c r="H34" s="41"/>
      <c r="K34" s="30" t="str">
        <f>"""GP"",""Ute Indian Tribe Membership Fund"",""aaa_contract_detail_sp"",""JRNENTRY"",""1614973"",""aaGLHdrID"",""1782846"",""aaGLDistID"",""7"",""aaGLAssignID"",""1"",""contract"",""3460 92 URHS FY2025"""</f>
        <v>"GP","Ute Indian Tribe Membership Fund","aaa_contract_detail_sp","JRNENTRY","1614973","aaGLHdrID","1782846","aaGLDistID","7","aaGLAssignID","1","contract","3460 92 URHS FY2025"</v>
      </c>
      <c r="L34" s="42">
        <v>45855</v>
      </c>
      <c r="M34" s="30">
        <v>1614973</v>
      </c>
      <c r="N34" s="30" t="str">
        <f>""</f>
        <v/>
      </c>
      <c r="O34" s="30" t="str">
        <f>""</f>
        <v/>
      </c>
      <c r="P34" s="30" t="str">
        <f>""</f>
        <v/>
      </c>
      <c r="Q34" s="43" t="str">
        <f>""</f>
        <v/>
      </c>
      <c r="R34" s="44">
        <v>344.32</v>
      </c>
      <c r="S34" s="44">
        <v>0</v>
      </c>
      <c r="T34" s="45">
        <f t="shared" si="0"/>
        <v>344.32</v>
      </c>
    </row>
    <row r="35" spans="1:20" s="30" customFormat="1" x14ac:dyDescent="0.25">
      <c r="A35" s="24" t="s">
        <v>24</v>
      </c>
      <c r="B35" s="40"/>
      <c r="C35" s="40"/>
      <c r="D35" s="24"/>
      <c r="E35" s="24"/>
      <c r="F35" s="40" t="e">
        <f t="shared" si="1"/>
        <v>#REF!</v>
      </c>
      <c r="G35" s="40" t="e">
        <f t="shared" si="1"/>
        <v>#REF!</v>
      </c>
      <c r="H35" s="41"/>
      <c r="K35" s="30" t="str">
        <f>"""GP"",""Ute Indian Tribe Membership Fund"",""aaa_contract_detail_sp"",""JRNENTRY"",""1614974"",""aaGLHdrID"",""1782847"",""aaGLDistID"",""6"",""aaGLAssignID"",""1"",""contract"",""3460 92 URHS FY2025"""</f>
        <v>"GP","Ute Indian Tribe Membership Fund","aaa_contract_detail_sp","JRNENTRY","1614974","aaGLHdrID","1782847","aaGLDistID","6","aaGLAssignID","1","contract","3460 92 URHS FY2025"</v>
      </c>
      <c r="L35" s="42">
        <v>45855</v>
      </c>
      <c r="M35" s="30">
        <v>1614974</v>
      </c>
      <c r="N35" s="30" t="str">
        <f>""</f>
        <v/>
      </c>
      <c r="O35" s="30" t="str">
        <f>""</f>
        <v/>
      </c>
      <c r="P35" s="30" t="str">
        <f>""</f>
        <v/>
      </c>
      <c r="Q35" s="43" t="str">
        <f>""</f>
        <v/>
      </c>
      <c r="R35" s="44">
        <v>355.92</v>
      </c>
      <c r="S35" s="44">
        <v>0</v>
      </c>
      <c r="T35" s="45">
        <f t="shared" si="0"/>
        <v>355.92</v>
      </c>
    </row>
    <row r="36" spans="1:20" s="30" customFormat="1" x14ac:dyDescent="0.25">
      <c r="A36" s="24" t="s">
        <v>24</v>
      </c>
      <c r="B36" s="40"/>
      <c r="C36" s="40"/>
      <c r="D36" s="24"/>
      <c r="E36" s="24"/>
      <c r="F36" s="40" t="e">
        <f t="shared" si="1"/>
        <v>#REF!</v>
      </c>
      <c r="G36" s="40" t="e">
        <f t="shared" si="1"/>
        <v>#REF!</v>
      </c>
      <c r="H36" s="41"/>
      <c r="K36" s="30" t="str">
        <f>"""GP"",""Ute Indian Tribe Membership Fund"",""aaa_contract_detail_sp"",""JRNENTRY"",""1615066"",""aaGLHdrID"",""1782939"",""aaGLDistID"",""15"",""aaGLAssignID"",""1"",""contract"",""3460 92 URHS FY2025"""</f>
        <v>"GP","Ute Indian Tribe Membership Fund","aaa_contract_detail_sp","JRNENTRY","1615066","aaGLHdrID","1782939","aaGLDistID","15","aaGLAssignID","1","contract","3460 92 URHS FY2025"</v>
      </c>
      <c r="L36" s="42">
        <v>45855</v>
      </c>
      <c r="M36" s="30">
        <v>1615066</v>
      </c>
      <c r="N36" s="30" t="str">
        <f>""</f>
        <v/>
      </c>
      <c r="O36" s="30" t="str">
        <f>""</f>
        <v/>
      </c>
      <c r="P36" s="30" t="str">
        <f>""</f>
        <v/>
      </c>
      <c r="Q36" s="43" t="str">
        <f>""</f>
        <v/>
      </c>
      <c r="R36" s="44">
        <v>720</v>
      </c>
      <c r="S36" s="44">
        <v>0</v>
      </c>
      <c r="T36" s="45">
        <f t="shared" si="0"/>
        <v>720</v>
      </c>
    </row>
    <row r="37" spans="1:20" s="30" customFormat="1" x14ac:dyDescent="0.25">
      <c r="A37" s="24" t="s">
        <v>24</v>
      </c>
      <c r="B37" s="40"/>
      <c r="C37" s="40"/>
      <c r="D37" s="24"/>
      <c r="E37" s="24"/>
      <c r="F37" s="40" t="e">
        <f t="shared" si="1"/>
        <v>#REF!</v>
      </c>
      <c r="G37" s="40" t="e">
        <f t="shared" si="1"/>
        <v>#REF!</v>
      </c>
      <c r="H37" s="41"/>
      <c r="K37" s="30" t="str">
        <f>"""GP"",""Ute Indian Tribe Membership Fund"",""aaa_contract_detail_sp"",""JRNENTRY"",""1615086"",""aaGLHdrID"",""1782959"",""aaGLDistID"",""13"",""aaGLAssignID"",""1"",""contract"",""3460 92 URHS FY2025"""</f>
        <v>"GP","Ute Indian Tribe Membership Fund","aaa_contract_detail_sp","JRNENTRY","1615086","aaGLHdrID","1782959","aaGLDistID","13","aaGLAssignID","1","contract","3460 92 URHS FY2025"</v>
      </c>
      <c r="L37" s="42">
        <v>45855</v>
      </c>
      <c r="M37" s="30">
        <v>1615086</v>
      </c>
      <c r="N37" s="30" t="str">
        <f>""</f>
        <v/>
      </c>
      <c r="O37" s="30" t="str">
        <f>""</f>
        <v/>
      </c>
      <c r="P37" s="30" t="str">
        <f>""</f>
        <v/>
      </c>
      <c r="Q37" s="43" t="str">
        <f>""</f>
        <v/>
      </c>
      <c r="R37" s="44">
        <v>2632.96</v>
      </c>
      <c r="S37" s="44">
        <v>0</v>
      </c>
      <c r="T37" s="45">
        <f t="shared" si="0"/>
        <v>2632.96</v>
      </c>
    </row>
    <row r="38" spans="1:20" s="30" customFormat="1" x14ac:dyDescent="0.25">
      <c r="A38" s="24" t="s">
        <v>24</v>
      </c>
      <c r="B38" s="40"/>
      <c r="C38" s="40"/>
      <c r="D38" s="24"/>
      <c r="E38" s="24"/>
      <c r="F38" s="40" t="e">
        <f t="shared" si="1"/>
        <v>#REF!</v>
      </c>
      <c r="G38" s="40" t="e">
        <f t="shared" si="1"/>
        <v>#REF!</v>
      </c>
      <c r="H38" s="41"/>
      <c r="K38" s="30" t="str">
        <f>"""GP"",""Ute Indian Tribe Membership Fund"",""aaa_contract_detail_sp"",""JRNENTRY"",""1615159"",""aaGLHdrID"",""1783032"",""aaGLDistID"",""12"",""aaGLAssignID"",""1"",""contract"",""3460 92 URHS FY2025"""</f>
        <v>"GP","Ute Indian Tribe Membership Fund","aaa_contract_detail_sp","JRNENTRY","1615159","aaGLHdrID","1783032","aaGLDistID","12","aaGLAssignID","1","contract","3460 92 URHS FY2025"</v>
      </c>
      <c r="L38" s="42">
        <v>45855</v>
      </c>
      <c r="M38" s="30">
        <v>1615159</v>
      </c>
      <c r="N38" s="30" t="str">
        <f>""</f>
        <v/>
      </c>
      <c r="O38" s="30" t="str">
        <f>""</f>
        <v/>
      </c>
      <c r="P38" s="30" t="str">
        <f>""</f>
        <v/>
      </c>
      <c r="Q38" s="43" t="str">
        <f>""</f>
        <v/>
      </c>
      <c r="R38" s="44">
        <v>1361.28</v>
      </c>
      <c r="S38" s="44">
        <v>0</v>
      </c>
      <c r="T38" s="45">
        <f t="shared" si="0"/>
        <v>1361.28</v>
      </c>
    </row>
    <row r="39" spans="1:20" s="30" customFormat="1" x14ac:dyDescent="0.25">
      <c r="A39" s="24" t="s">
        <v>24</v>
      </c>
      <c r="B39" s="40"/>
      <c r="C39" s="40"/>
      <c r="D39" s="24"/>
      <c r="E39" s="24"/>
      <c r="F39" s="40" t="e">
        <f t="shared" si="1"/>
        <v>#REF!</v>
      </c>
      <c r="G39" s="40" t="e">
        <f t="shared" si="1"/>
        <v>#REF!</v>
      </c>
      <c r="H39" s="41"/>
      <c r="K39" s="30" t="str">
        <f>"""GP"",""Ute Indian Tribe Membership Fund"",""aaa_contract_detail_sp"",""JRNENTRY"",""1615163"",""aaGLHdrID"",""1783036"",""aaGLDistID"",""12"",""aaGLAssignID"",""1"",""contract"",""3460 92 URHS FY2025"""</f>
        <v>"GP","Ute Indian Tribe Membership Fund","aaa_contract_detail_sp","JRNENTRY","1615163","aaGLHdrID","1783036","aaGLDistID","12","aaGLAssignID","1","contract","3460 92 URHS FY2025"</v>
      </c>
      <c r="L39" s="42">
        <v>45855</v>
      </c>
      <c r="M39" s="30">
        <v>1615163</v>
      </c>
      <c r="N39" s="30" t="str">
        <f>""</f>
        <v/>
      </c>
      <c r="O39" s="30" t="str">
        <f>""</f>
        <v/>
      </c>
      <c r="P39" s="30" t="str">
        <f>""</f>
        <v/>
      </c>
      <c r="Q39" s="43" t="str">
        <f>""</f>
        <v/>
      </c>
      <c r="R39" s="44">
        <v>1550.72</v>
      </c>
      <c r="S39" s="44">
        <v>0</v>
      </c>
      <c r="T39" s="45">
        <f t="shared" si="0"/>
        <v>1550.72</v>
      </c>
    </row>
    <row r="40" spans="1:20" s="30" customFormat="1" x14ac:dyDescent="0.25">
      <c r="A40" s="24" t="s">
        <v>24</v>
      </c>
      <c r="B40" s="40"/>
      <c r="C40" s="40"/>
      <c r="D40" s="24"/>
      <c r="E40" s="24"/>
      <c r="F40" s="40" t="e">
        <f t="shared" si="1"/>
        <v>#REF!</v>
      </c>
      <c r="G40" s="40" t="e">
        <f t="shared" si="1"/>
        <v>#REF!</v>
      </c>
      <c r="H40" s="41"/>
      <c r="K40" s="30" t="str">
        <f>"""GP"",""Ute Indian Tribe Membership Fund"",""aaa_contract_detail_sp"",""JRNENTRY"",""1615163"",""aaGLHdrID"",""1783036"",""aaGLDistID"",""13"",""aaGLAssignID"",""1"",""contract"",""3460 92 URHS FY2025"""</f>
        <v>"GP","Ute Indian Tribe Membership Fund","aaa_contract_detail_sp","JRNENTRY","1615163","aaGLHdrID","1783036","aaGLDistID","13","aaGLAssignID","1","contract","3460 92 URHS FY2025"</v>
      </c>
      <c r="L40" s="42">
        <v>45855</v>
      </c>
      <c r="M40" s="30">
        <v>1615163</v>
      </c>
      <c r="N40" s="30" t="str">
        <f>""</f>
        <v/>
      </c>
      <c r="O40" s="30" t="str">
        <f>""</f>
        <v/>
      </c>
      <c r="P40" s="30" t="str">
        <f>""</f>
        <v/>
      </c>
      <c r="Q40" s="43" t="str">
        <f>""</f>
        <v/>
      </c>
      <c r="R40" s="44">
        <v>1280</v>
      </c>
      <c r="S40" s="44">
        <v>0</v>
      </c>
      <c r="T40" s="45">
        <f t="shared" si="0"/>
        <v>1280</v>
      </c>
    </row>
    <row r="41" spans="1:20" s="30" customFormat="1" x14ac:dyDescent="0.25">
      <c r="A41" s="24" t="s">
        <v>24</v>
      </c>
      <c r="B41" s="40"/>
      <c r="C41" s="40"/>
      <c r="D41" s="24"/>
      <c r="E41" s="24"/>
      <c r="F41" s="40" t="e">
        <f t="shared" ref="F41:G60" si="2">F40</f>
        <v>#REF!</v>
      </c>
      <c r="G41" s="40" t="e">
        <f t="shared" si="2"/>
        <v>#REF!</v>
      </c>
      <c r="H41" s="41"/>
      <c r="K41" s="30" t="str">
        <f>"""GP"",""Ute Indian Tribe Membership Fund"",""aaa_contract_detail_sp"",""JRNENTRY"",""1615166"",""aaGLHdrID"",""1783039"",""aaGLDistID"",""15"",""aaGLAssignID"",""1"",""contract"",""3460 92 URHS FY2025"""</f>
        <v>"GP","Ute Indian Tribe Membership Fund","aaa_contract_detail_sp","JRNENTRY","1615166","aaGLHdrID","1783039","aaGLDistID","15","aaGLAssignID","1","contract","3460 92 URHS FY2025"</v>
      </c>
      <c r="L41" s="42">
        <v>45855</v>
      </c>
      <c r="M41" s="30">
        <v>1615166</v>
      </c>
      <c r="N41" s="30" t="str">
        <f>""</f>
        <v/>
      </c>
      <c r="O41" s="30" t="str">
        <f>""</f>
        <v/>
      </c>
      <c r="P41" s="30" t="str">
        <f>""</f>
        <v/>
      </c>
      <c r="Q41" s="43" t="str">
        <f>""</f>
        <v/>
      </c>
      <c r="R41" s="44">
        <v>1675.52</v>
      </c>
      <c r="S41" s="44">
        <v>0</v>
      </c>
      <c r="T41" s="45">
        <f t="shared" ref="T41:T60" si="3">SUM(R41:S41)</f>
        <v>1675.52</v>
      </c>
    </row>
    <row r="42" spans="1:20" s="30" customFormat="1" x14ac:dyDescent="0.25">
      <c r="A42" s="24" t="s">
        <v>24</v>
      </c>
      <c r="B42" s="40"/>
      <c r="C42" s="40"/>
      <c r="D42" s="24"/>
      <c r="E42" s="24"/>
      <c r="F42" s="40" t="e">
        <f t="shared" si="2"/>
        <v>#REF!</v>
      </c>
      <c r="G42" s="40" t="e">
        <f t="shared" si="2"/>
        <v>#REF!</v>
      </c>
      <c r="H42" s="41"/>
      <c r="K42" s="30" t="str">
        <f>"""GP"",""Ute Indian Tribe Membership Fund"",""aaa_contract_detail_sp"",""JRNENTRY"",""1615166"",""aaGLHdrID"",""1783039"",""aaGLDistID"",""16"",""aaGLAssignID"",""1"",""contract"",""3460 92 URHS FY2025"""</f>
        <v>"GP","Ute Indian Tribe Membership Fund","aaa_contract_detail_sp","JRNENTRY","1615166","aaGLHdrID","1783039","aaGLDistID","16","aaGLAssignID","1","contract","3460 92 URHS FY2025"</v>
      </c>
      <c r="L42" s="42">
        <v>45855</v>
      </c>
      <c r="M42" s="30">
        <v>1615166</v>
      </c>
      <c r="N42" s="30" t="str">
        <f>""</f>
        <v/>
      </c>
      <c r="O42" s="30" t="str">
        <f>""</f>
        <v/>
      </c>
      <c r="P42" s="30" t="str">
        <f>""</f>
        <v/>
      </c>
      <c r="Q42" s="43" t="str">
        <f>""</f>
        <v/>
      </c>
      <c r="R42" s="44">
        <v>2762.5</v>
      </c>
      <c r="S42" s="44">
        <v>0</v>
      </c>
      <c r="T42" s="45">
        <f t="shared" si="3"/>
        <v>2762.5</v>
      </c>
    </row>
    <row r="43" spans="1:20" s="30" customFormat="1" x14ac:dyDescent="0.25">
      <c r="A43" s="24" t="s">
        <v>24</v>
      </c>
      <c r="B43" s="40"/>
      <c r="C43" s="40"/>
      <c r="D43" s="24"/>
      <c r="E43" s="24"/>
      <c r="F43" s="40" t="e">
        <f t="shared" si="2"/>
        <v>#REF!</v>
      </c>
      <c r="G43" s="40" t="e">
        <f t="shared" si="2"/>
        <v>#REF!</v>
      </c>
      <c r="H43" s="41"/>
      <c r="K43" s="30" t="str">
        <f>"""GP"",""Ute Indian Tribe Membership Fund"",""aaa_contract_detail_sp"",""JRNENTRY"",""1616675"",""aaGLHdrID"",""1784523"",""aaGLDistID"",""15"",""aaGLAssignID"",""1"",""contract"",""3460 92 URHS FY2025"""</f>
        <v>"GP","Ute Indian Tribe Membership Fund","aaa_contract_detail_sp","JRNENTRY","1616675","aaGLHdrID","1784523","aaGLDistID","15","aaGLAssignID","1","contract","3460 92 URHS FY2025"</v>
      </c>
      <c r="L43" s="42">
        <v>45869</v>
      </c>
      <c r="M43" s="30">
        <v>1616675</v>
      </c>
      <c r="N43" s="30" t="str">
        <f>""</f>
        <v/>
      </c>
      <c r="O43" s="30" t="str">
        <f>""</f>
        <v/>
      </c>
      <c r="P43" s="30" t="str">
        <f>""</f>
        <v/>
      </c>
      <c r="Q43" s="43" t="str">
        <f>""</f>
        <v/>
      </c>
      <c r="R43" s="44">
        <v>2410.2399999999998</v>
      </c>
      <c r="S43" s="44">
        <v>0</v>
      </c>
      <c r="T43" s="45">
        <f t="shared" si="3"/>
        <v>2410.2399999999998</v>
      </c>
    </row>
    <row r="44" spans="1:20" s="30" customFormat="1" x14ac:dyDescent="0.25">
      <c r="A44" s="24" t="s">
        <v>24</v>
      </c>
      <c r="B44" s="40"/>
      <c r="C44" s="40"/>
      <c r="D44" s="24"/>
      <c r="E44" s="24"/>
      <c r="F44" s="40" t="e">
        <f t="shared" si="2"/>
        <v>#REF!</v>
      </c>
      <c r="G44" s="40" t="e">
        <f t="shared" si="2"/>
        <v>#REF!</v>
      </c>
      <c r="H44" s="41"/>
      <c r="K44" s="30" t="str">
        <f>"""GP"",""Ute Indian Tribe Membership Fund"",""aaa_contract_detail_sp"",""JRNENTRY"",""1616741"",""aaGLHdrID"",""1784589"",""aaGLDistID"",""16"",""aaGLAssignID"",""1"",""contract"",""3460 92 URHS FY2025"""</f>
        <v>"GP","Ute Indian Tribe Membership Fund","aaa_contract_detail_sp","JRNENTRY","1616741","aaGLHdrID","1784589","aaGLDistID","16","aaGLAssignID","1","contract","3460 92 URHS FY2025"</v>
      </c>
      <c r="L44" s="42">
        <v>45869</v>
      </c>
      <c r="M44" s="30">
        <v>1616741</v>
      </c>
      <c r="N44" s="30" t="str">
        <f>""</f>
        <v/>
      </c>
      <c r="O44" s="30" t="str">
        <f>""</f>
        <v/>
      </c>
      <c r="P44" s="30" t="str">
        <f>""</f>
        <v/>
      </c>
      <c r="Q44" s="43" t="str">
        <f>""</f>
        <v/>
      </c>
      <c r="R44" s="44">
        <v>2992</v>
      </c>
      <c r="S44" s="44">
        <v>0</v>
      </c>
      <c r="T44" s="45">
        <f t="shared" si="3"/>
        <v>2992</v>
      </c>
    </row>
    <row r="45" spans="1:20" s="30" customFormat="1" x14ac:dyDescent="0.25">
      <c r="A45" s="24" t="s">
        <v>24</v>
      </c>
      <c r="B45" s="40"/>
      <c r="C45" s="40"/>
      <c r="D45" s="24"/>
      <c r="E45" s="24"/>
      <c r="F45" s="40" t="e">
        <f t="shared" si="2"/>
        <v>#REF!</v>
      </c>
      <c r="G45" s="40" t="e">
        <f t="shared" si="2"/>
        <v>#REF!</v>
      </c>
      <c r="H45" s="41"/>
      <c r="K45" s="30" t="str">
        <f>"""GP"",""Ute Indian Tribe Membership Fund"",""aaa_contract_detail_sp"",""JRNENTRY"",""1616826"",""aaGLHdrID"",""1784674"",""aaGLDistID"",""15"",""aaGLAssignID"",""1"",""contract"",""3460 92 URHS FY2025"""</f>
        <v>"GP","Ute Indian Tribe Membership Fund","aaa_contract_detail_sp","JRNENTRY","1616826","aaGLHdrID","1784674","aaGLDistID","15","aaGLAssignID","1","contract","3460 92 URHS FY2025"</v>
      </c>
      <c r="L45" s="42">
        <v>45869</v>
      </c>
      <c r="M45" s="30">
        <v>1616826</v>
      </c>
      <c r="N45" s="30" t="str">
        <f>""</f>
        <v/>
      </c>
      <c r="O45" s="30" t="str">
        <f>""</f>
        <v/>
      </c>
      <c r="P45" s="30" t="str">
        <f>""</f>
        <v/>
      </c>
      <c r="Q45" s="43" t="str">
        <f>""</f>
        <v/>
      </c>
      <c r="R45" s="44">
        <v>3242.24</v>
      </c>
      <c r="S45" s="44">
        <v>0</v>
      </c>
      <c r="T45" s="45">
        <f t="shared" si="3"/>
        <v>3242.24</v>
      </c>
    </row>
    <row r="46" spans="1:20" s="30" customFormat="1" x14ac:dyDescent="0.25">
      <c r="A46" s="24" t="s">
        <v>24</v>
      </c>
      <c r="B46" s="40"/>
      <c r="C46" s="40"/>
      <c r="D46" s="24"/>
      <c r="E46" s="24"/>
      <c r="F46" s="40" t="e">
        <f t="shared" si="2"/>
        <v>#REF!</v>
      </c>
      <c r="G46" s="40" t="e">
        <f t="shared" si="2"/>
        <v>#REF!</v>
      </c>
      <c r="H46" s="41"/>
      <c r="K46" s="30" t="str">
        <f>"""GP"",""Ute Indian Tribe Membership Fund"",""aaa_contract_detail_sp"",""JRNENTRY"",""1616830"",""aaGLHdrID"",""1784678"",""aaGLDistID"",""16"",""aaGLAssignID"",""1"",""contract"",""3460 92 URHS FY2025"""</f>
        <v>"GP","Ute Indian Tribe Membership Fund","aaa_contract_detail_sp","JRNENTRY","1616830","aaGLHdrID","1784678","aaGLDistID","16","aaGLAssignID","1","contract","3460 92 URHS FY2025"</v>
      </c>
      <c r="L46" s="42">
        <v>45869</v>
      </c>
      <c r="M46" s="30">
        <v>1616830</v>
      </c>
      <c r="N46" s="30" t="str">
        <f>""</f>
        <v/>
      </c>
      <c r="O46" s="30" t="str">
        <f>""</f>
        <v/>
      </c>
      <c r="P46" s="30" t="str">
        <f>""</f>
        <v/>
      </c>
      <c r="Q46" s="43" t="str">
        <f>""</f>
        <v/>
      </c>
      <c r="R46" s="44">
        <v>4024.32</v>
      </c>
      <c r="S46" s="44">
        <v>0</v>
      </c>
      <c r="T46" s="45">
        <f t="shared" si="3"/>
        <v>4024.32</v>
      </c>
    </row>
    <row r="47" spans="1:20" s="30" customFormat="1" x14ac:dyDescent="0.25">
      <c r="A47" s="24" t="s">
        <v>24</v>
      </c>
      <c r="B47" s="40"/>
      <c r="C47" s="40"/>
      <c r="D47" s="24"/>
      <c r="E47" s="24"/>
      <c r="F47" s="40" t="e">
        <f t="shared" si="2"/>
        <v>#REF!</v>
      </c>
      <c r="G47" s="40" t="e">
        <f t="shared" si="2"/>
        <v>#REF!</v>
      </c>
      <c r="H47" s="41"/>
      <c r="K47" s="30" t="str">
        <f>"""GP"",""Ute Indian Tribe Membership Fund"",""aaa_contract_detail_sp"",""JRNENTRY"",""1616979"",""aaGLHdrID"",""1784827"",""aaGLDistID"",""15"",""aaGLAssignID"",""1"",""contract"",""3460 92 URHS FY2025"""</f>
        <v>"GP","Ute Indian Tribe Membership Fund","aaa_contract_detail_sp","JRNENTRY","1616979","aaGLHdrID","1784827","aaGLDistID","15","aaGLAssignID","1","contract","3460 92 URHS FY2025"</v>
      </c>
      <c r="L47" s="42">
        <v>45869</v>
      </c>
      <c r="M47" s="30">
        <v>1616979</v>
      </c>
      <c r="N47" s="30" t="str">
        <f>""</f>
        <v/>
      </c>
      <c r="O47" s="30" t="str">
        <f>""</f>
        <v/>
      </c>
      <c r="P47" s="30" t="str">
        <f>""</f>
        <v/>
      </c>
      <c r="Q47" s="43" t="str">
        <f>""</f>
        <v/>
      </c>
      <c r="R47" s="44">
        <v>2200.96</v>
      </c>
      <c r="S47" s="44">
        <v>0</v>
      </c>
      <c r="T47" s="45">
        <f t="shared" si="3"/>
        <v>2200.96</v>
      </c>
    </row>
    <row r="48" spans="1:20" s="30" customFormat="1" x14ac:dyDescent="0.25">
      <c r="A48" s="24" t="s">
        <v>24</v>
      </c>
      <c r="B48" s="40"/>
      <c r="C48" s="40"/>
      <c r="D48" s="24"/>
      <c r="E48" s="24"/>
      <c r="F48" s="40" t="e">
        <f t="shared" si="2"/>
        <v>#REF!</v>
      </c>
      <c r="G48" s="40" t="e">
        <f t="shared" si="2"/>
        <v>#REF!</v>
      </c>
      <c r="H48" s="41"/>
      <c r="K48" s="30" t="str">
        <f>"""GP"",""Ute Indian Tribe Membership Fund"",""aaa_contract_detail_sp"",""JRNENTRY"",""1617000"",""aaGLHdrID"",""1784848"",""aaGLDistID"",""13"",""aaGLAssignID"",""1"",""contract"",""3460 92 URHS FY2025"""</f>
        <v>"GP","Ute Indian Tribe Membership Fund","aaa_contract_detail_sp","JRNENTRY","1617000","aaGLHdrID","1784848","aaGLDistID","13","aaGLAssignID","1","contract","3460 92 URHS FY2025"</v>
      </c>
      <c r="L48" s="42">
        <v>45869</v>
      </c>
      <c r="M48" s="30">
        <v>1617000</v>
      </c>
      <c r="N48" s="30" t="str">
        <f>""</f>
        <v/>
      </c>
      <c r="O48" s="30" t="str">
        <f>""</f>
        <v/>
      </c>
      <c r="P48" s="30" t="str">
        <f>""</f>
        <v/>
      </c>
      <c r="Q48" s="43" t="str">
        <f>""</f>
        <v/>
      </c>
      <c r="R48" s="44">
        <v>2632.96</v>
      </c>
      <c r="S48" s="44">
        <v>0</v>
      </c>
      <c r="T48" s="45">
        <f t="shared" si="3"/>
        <v>2632.96</v>
      </c>
    </row>
    <row r="49" spans="1:20" s="30" customFormat="1" x14ac:dyDescent="0.25">
      <c r="A49" s="24" t="s">
        <v>24</v>
      </c>
      <c r="B49" s="40"/>
      <c r="C49" s="40"/>
      <c r="D49" s="24"/>
      <c r="E49" s="24"/>
      <c r="F49" s="40" t="e">
        <f t="shared" si="2"/>
        <v>#REF!</v>
      </c>
      <c r="G49" s="40" t="e">
        <f t="shared" si="2"/>
        <v>#REF!</v>
      </c>
      <c r="H49" s="41"/>
      <c r="K49" s="30" t="str">
        <f>"""GP"",""Ute Indian Tribe Membership Fund"",""aaa_contract_detail_sp"",""JRNENTRY"",""1617079"",""aaGLHdrID"",""1784927"",""aaGLDistID"",""12"",""aaGLAssignID"",""1"",""contract"",""3460 92 URHS FY2025"""</f>
        <v>"GP","Ute Indian Tribe Membership Fund","aaa_contract_detail_sp","JRNENTRY","1617079","aaGLHdrID","1784927","aaGLDistID","12","aaGLAssignID","1","contract","3460 92 URHS FY2025"</v>
      </c>
      <c r="L49" s="42">
        <v>45869</v>
      </c>
      <c r="M49" s="30">
        <v>1617079</v>
      </c>
      <c r="N49" s="30" t="str">
        <f>""</f>
        <v/>
      </c>
      <c r="O49" s="30" t="str">
        <f>""</f>
        <v/>
      </c>
      <c r="P49" s="30" t="str">
        <f>""</f>
        <v/>
      </c>
      <c r="Q49" s="43" t="str">
        <f>""</f>
        <v/>
      </c>
      <c r="R49" s="44">
        <v>1361.28</v>
      </c>
      <c r="S49" s="44">
        <v>0</v>
      </c>
      <c r="T49" s="45">
        <f t="shared" si="3"/>
        <v>1361.28</v>
      </c>
    </row>
    <row r="50" spans="1:20" s="30" customFormat="1" x14ac:dyDescent="0.25">
      <c r="A50" s="24" t="s">
        <v>24</v>
      </c>
      <c r="B50" s="40"/>
      <c r="C50" s="40"/>
      <c r="D50" s="24"/>
      <c r="E50" s="24"/>
      <c r="F50" s="40" t="e">
        <f t="shared" si="2"/>
        <v>#REF!</v>
      </c>
      <c r="G50" s="40" t="e">
        <f t="shared" si="2"/>
        <v>#REF!</v>
      </c>
      <c r="H50" s="41"/>
      <c r="K50" s="30" t="str">
        <f>"""GP"",""Ute Indian Tribe Membership Fund"",""aaa_contract_detail_sp"",""JRNENTRY"",""1617083"",""aaGLHdrID"",""1784931"",""aaGLDistID"",""12"",""aaGLAssignID"",""1"",""contract"",""3460 92 URHS FY2025"""</f>
        <v>"GP","Ute Indian Tribe Membership Fund","aaa_contract_detail_sp","JRNENTRY","1617083","aaGLHdrID","1784931","aaGLDistID","12","aaGLAssignID","1","contract","3460 92 URHS FY2025"</v>
      </c>
      <c r="L50" s="42">
        <v>45869</v>
      </c>
      <c r="M50" s="30">
        <v>1617083</v>
      </c>
      <c r="N50" s="30" t="str">
        <f>""</f>
        <v/>
      </c>
      <c r="O50" s="30" t="str">
        <f>""</f>
        <v/>
      </c>
      <c r="P50" s="30" t="str">
        <f>""</f>
        <v/>
      </c>
      <c r="Q50" s="43" t="str">
        <f>""</f>
        <v/>
      </c>
      <c r="R50" s="44">
        <v>1550.72</v>
      </c>
      <c r="S50" s="44">
        <v>0</v>
      </c>
      <c r="T50" s="45">
        <f t="shared" si="3"/>
        <v>1550.72</v>
      </c>
    </row>
    <row r="51" spans="1:20" s="30" customFormat="1" x14ac:dyDescent="0.25">
      <c r="A51" s="24" t="s">
        <v>24</v>
      </c>
      <c r="B51" s="40"/>
      <c r="C51" s="40"/>
      <c r="D51" s="24"/>
      <c r="E51" s="24"/>
      <c r="F51" s="40" t="e">
        <f t="shared" si="2"/>
        <v>#REF!</v>
      </c>
      <c r="G51" s="40" t="e">
        <f t="shared" si="2"/>
        <v>#REF!</v>
      </c>
      <c r="H51" s="41"/>
      <c r="K51" s="30" t="str">
        <f>"""GP"",""Ute Indian Tribe Membership Fund"",""aaa_contract_detail_sp"",""JRNENTRY"",""1617086"",""aaGLHdrID"",""1784934"",""aaGLDistID"",""15"",""aaGLAssignID"",""1"",""contract"",""3460 92 URHS FY2025"""</f>
        <v>"GP","Ute Indian Tribe Membership Fund","aaa_contract_detail_sp","JRNENTRY","1617086","aaGLHdrID","1784934","aaGLDistID","15","aaGLAssignID","1","contract","3460 92 URHS FY2025"</v>
      </c>
      <c r="L51" s="42">
        <v>45869</v>
      </c>
      <c r="M51" s="30">
        <v>1617086</v>
      </c>
      <c r="N51" s="30" t="str">
        <f>""</f>
        <v/>
      </c>
      <c r="O51" s="30" t="str">
        <f>""</f>
        <v/>
      </c>
      <c r="P51" s="30" t="str">
        <f>""</f>
        <v/>
      </c>
      <c r="Q51" s="43" t="str">
        <f>""</f>
        <v/>
      </c>
      <c r="R51" s="44">
        <v>1675.52</v>
      </c>
      <c r="S51" s="44">
        <v>0</v>
      </c>
      <c r="T51" s="45">
        <f t="shared" si="3"/>
        <v>1675.52</v>
      </c>
    </row>
    <row r="52" spans="1:20" s="30" customFormat="1" x14ac:dyDescent="0.25">
      <c r="A52" s="24" t="s">
        <v>24</v>
      </c>
      <c r="B52" s="40"/>
      <c r="C52" s="40"/>
      <c r="D52" s="24"/>
      <c r="E52" s="24"/>
      <c r="F52" s="40" t="e">
        <f t="shared" si="2"/>
        <v>#REF!</v>
      </c>
      <c r="G52" s="40" t="e">
        <f t="shared" si="2"/>
        <v>#REF!</v>
      </c>
      <c r="H52" s="41"/>
      <c r="K52" s="30" t="str">
        <f>"""GP"",""Ute Indian Tribe Membership Fund"",""aaa_contract_detail_sp"",""JRNENTRY"",""1619591"",""aaGLHdrID"",""1787735"",""aaGLDistID"",""15"",""aaGLAssignID"",""1"",""contract"",""3460 92 URHS FY2025"""</f>
        <v>"GP","Ute Indian Tribe Membership Fund","aaa_contract_detail_sp","JRNENTRY","1619591","aaGLHdrID","1787735","aaGLDistID","15","aaGLAssignID","1","contract","3460 92 URHS FY2025"</v>
      </c>
      <c r="L52" s="42">
        <v>45883</v>
      </c>
      <c r="M52" s="30">
        <v>1619591</v>
      </c>
      <c r="N52" s="30" t="str">
        <f>""</f>
        <v/>
      </c>
      <c r="O52" s="30" t="str">
        <f>""</f>
        <v/>
      </c>
      <c r="P52" s="30" t="str">
        <f>""</f>
        <v/>
      </c>
      <c r="Q52" s="43" t="str">
        <f>""</f>
        <v/>
      </c>
      <c r="R52" s="44">
        <v>2410.2399999999998</v>
      </c>
      <c r="S52" s="44">
        <v>0</v>
      </c>
      <c r="T52" s="45">
        <f t="shared" si="3"/>
        <v>2410.2399999999998</v>
      </c>
    </row>
    <row r="53" spans="1:20" s="30" customFormat="1" x14ac:dyDescent="0.25">
      <c r="A53" s="24" t="s">
        <v>24</v>
      </c>
      <c r="B53" s="40"/>
      <c r="C53" s="40"/>
      <c r="D53" s="24"/>
      <c r="E53" s="24"/>
      <c r="F53" s="40" t="e">
        <f t="shared" si="2"/>
        <v>#REF!</v>
      </c>
      <c r="G53" s="40" t="e">
        <f t="shared" si="2"/>
        <v>#REF!</v>
      </c>
      <c r="H53" s="41"/>
      <c r="K53" s="30" t="str">
        <f>"""GP"",""Ute Indian Tribe Membership Fund"",""aaa_contract_detail_sp"",""JRNENTRY"",""1619659"",""aaGLHdrID"",""1787803"",""aaGLDistID"",""16"",""aaGLAssignID"",""1"",""contract"",""3460 92 URHS FY2025"""</f>
        <v>"GP","Ute Indian Tribe Membership Fund","aaa_contract_detail_sp","JRNENTRY","1619659","aaGLHdrID","1787803","aaGLDistID","16","aaGLAssignID","1","contract","3460 92 URHS FY2025"</v>
      </c>
      <c r="L53" s="42">
        <v>45883</v>
      </c>
      <c r="M53" s="30">
        <v>1619659</v>
      </c>
      <c r="N53" s="30" t="str">
        <f>""</f>
        <v/>
      </c>
      <c r="O53" s="30" t="str">
        <f>""</f>
        <v/>
      </c>
      <c r="P53" s="30" t="str">
        <f>""</f>
        <v/>
      </c>
      <c r="Q53" s="43" t="str">
        <f>""</f>
        <v/>
      </c>
      <c r="R53" s="44">
        <v>2992</v>
      </c>
      <c r="S53" s="44">
        <v>0</v>
      </c>
      <c r="T53" s="45">
        <f t="shared" si="3"/>
        <v>2992</v>
      </c>
    </row>
    <row r="54" spans="1:20" s="30" customFormat="1" x14ac:dyDescent="0.25">
      <c r="A54" s="24" t="s">
        <v>24</v>
      </c>
      <c r="B54" s="40"/>
      <c r="C54" s="40"/>
      <c r="D54" s="24"/>
      <c r="E54" s="24"/>
      <c r="F54" s="40" t="e">
        <f t="shared" si="2"/>
        <v>#REF!</v>
      </c>
      <c r="G54" s="40" t="e">
        <f t="shared" si="2"/>
        <v>#REF!</v>
      </c>
      <c r="H54" s="41"/>
      <c r="K54" s="30" t="str">
        <f>"""GP"",""Ute Indian Tribe Membership Fund"",""aaa_contract_detail_sp"",""JRNENTRY"",""1619745"",""aaGLHdrID"",""1787889"",""aaGLDistID"",""15"",""aaGLAssignID"",""1"",""contract"",""3460 92 URHS FY2025"""</f>
        <v>"GP","Ute Indian Tribe Membership Fund","aaa_contract_detail_sp","JRNENTRY","1619745","aaGLHdrID","1787889","aaGLDistID","15","aaGLAssignID","1","contract","3460 92 URHS FY2025"</v>
      </c>
      <c r="L54" s="42">
        <v>45883</v>
      </c>
      <c r="M54" s="30">
        <v>1619745</v>
      </c>
      <c r="N54" s="30" t="str">
        <f>""</f>
        <v/>
      </c>
      <c r="O54" s="30" t="str">
        <f>""</f>
        <v/>
      </c>
      <c r="P54" s="30" t="str">
        <f>""</f>
        <v/>
      </c>
      <c r="Q54" s="43" t="str">
        <f>""</f>
        <v/>
      </c>
      <c r="R54" s="44">
        <v>3242.24</v>
      </c>
      <c r="S54" s="44">
        <v>0</v>
      </c>
      <c r="T54" s="45">
        <f t="shared" si="3"/>
        <v>3242.24</v>
      </c>
    </row>
    <row r="55" spans="1:20" s="30" customFormat="1" x14ac:dyDescent="0.25">
      <c r="A55" s="24" t="s">
        <v>24</v>
      </c>
      <c r="B55" s="40"/>
      <c r="C55" s="40"/>
      <c r="D55" s="24"/>
      <c r="E55" s="24"/>
      <c r="F55" s="40" t="e">
        <f t="shared" si="2"/>
        <v>#REF!</v>
      </c>
      <c r="G55" s="40" t="e">
        <f t="shared" si="2"/>
        <v>#REF!</v>
      </c>
      <c r="H55" s="41"/>
      <c r="K55" s="30" t="str">
        <f>"""GP"",""Ute Indian Tribe Membership Fund"",""aaa_contract_detail_sp"",""JRNENTRY"",""1619749"",""aaGLHdrID"",""1787893"",""aaGLDistID"",""16"",""aaGLAssignID"",""1"",""contract"",""3460 92 URHS FY2025"""</f>
        <v>"GP","Ute Indian Tribe Membership Fund","aaa_contract_detail_sp","JRNENTRY","1619749","aaGLHdrID","1787893","aaGLDistID","16","aaGLAssignID","1","contract","3460 92 URHS FY2025"</v>
      </c>
      <c r="L55" s="42">
        <v>45883</v>
      </c>
      <c r="M55" s="30">
        <v>1619749</v>
      </c>
      <c r="N55" s="30" t="str">
        <f>""</f>
        <v/>
      </c>
      <c r="O55" s="30" t="str">
        <f>""</f>
        <v/>
      </c>
      <c r="P55" s="30" t="str">
        <f>""</f>
        <v/>
      </c>
      <c r="Q55" s="43" t="str">
        <f>""</f>
        <v/>
      </c>
      <c r="R55" s="44">
        <v>4024.32</v>
      </c>
      <c r="S55" s="44">
        <v>0</v>
      </c>
      <c r="T55" s="45">
        <f t="shared" si="3"/>
        <v>4024.32</v>
      </c>
    </row>
    <row r="56" spans="1:20" s="30" customFormat="1" x14ac:dyDescent="0.25">
      <c r="A56" s="24" t="s">
        <v>24</v>
      </c>
      <c r="B56" s="40"/>
      <c r="C56" s="40"/>
      <c r="D56" s="24"/>
      <c r="E56" s="24"/>
      <c r="F56" s="40" t="e">
        <f t="shared" si="2"/>
        <v>#REF!</v>
      </c>
      <c r="G56" s="40" t="e">
        <f t="shared" si="2"/>
        <v>#REF!</v>
      </c>
      <c r="H56" s="41"/>
      <c r="K56" s="30" t="str">
        <f>"""GP"",""Ute Indian Tribe Membership Fund"",""aaa_contract_detail_sp"",""JRNENTRY"",""1619875"",""aaGLHdrID"",""1788019"",""aaGLDistID"",""17"",""aaGLAssignID"",""1"",""contract"",""3460 92 URHS FY2025"""</f>
        <v>"GP","Ute Indian Tribe Membership Fund","aaa_contract_detail_sp","JRNENTRY","1619875","aaGLHdrID","1788019","aaGLDistID","17","aaGLAssignID","1","contract","3460 92 URHS FY2025"</v>
      </c>
      <c r="L56" s="42">
        <v>45883</v>
      </c>
      <c r="M56" s="30">
        <v>1619875</v>
      </c>
      <c r="N56" s="30" t="str">
        <f>""</f>
        <v/>
      </c>
      <c r="O56" s="30" t="str">
        <f>""</f>
        <v/>
      </c>
      <c r="P56" s="30" t="str">
        <f>""</f>
        <v/>
      </c>
      <c r="Q56" s="43" t="str">
        <f>""</f>
        <v/>
      </c>
      <c r="R56" s="44">
        <v>2200.96</v>
      </c>
      <c r="S56" s="44">
        <v>0</v>
      </c>
      <c r="T56" s="45">
        <f t="shared" si="3"/>
        <v>2200.96</v>
      </c>
    </row>
    <row r="57" spans="1:20" s="30" customFormat="1" x14ac:dyDescent="0.25">
      <c r="A57" s="24" t="s">
        <v>24</v>
      </c>
      <c r="B57" s="40"/>
      <c r="C57" s="40"/>
      <c r="D57" s="24"/>
      <c r="E57" s="24"/>
      <c r="F57" s="40" t="e">
        <f t="shared" si="2"/>
        <v>#REF!</v>
      </c>
      <c r="G57" s="40" t="e">
        <f t="shared" si="2"/>
        <v>#REF!</v>
      </c>
      <c r="H57" s="41"/>
      <c r="K57" s="30" t="str">
        <f>"""GP"",""Ute Indian Tribe Membership Fund"",""aaa_contract_detail_sp"",""JRNENTRY"",""1619896"",""aaGLHdrID"",""1788040"",""aaGLDistID"",""13"",""aaGLAssignID"",""1"",""contract"",""3460 92 URHS FY2025"""</f>
        <v>"GP","Ute Indian Tribe Membership Fund","aaa_contract_detail_sp","JRNENTRY","1619896","aaGLHdrID","1788040","aaGLDistID","13","aaGLAssignID","1","contract","3460 92 URHS FY2025"</v>
      </c>
      <c r="L57" s="42">
        <v>45883</v>
      </c>
      <c r="M57" s="30">
        <v>1619896</v>
      </c>
      <c r="N57" s="30" t="str">
        <f>""</f>
        <v/>
      </c>
      <c r="O57" s="30" t="str">
        <f>""</f>
        <v/>
      </c>
      <c r="P57" s="30" t="str">
        <f>""</f>
        <v/>
      </c>
      <c r="Q57" s="43" t="str">
        <f>""</f>
        <v/>
      </c>
      <c r="R57" s="44">
        <v>2632.96</v>
      </c>
      <c r="S57" s="44">
        <v>0</v>
      </c>
      <c r="T57" s="45">
        <f t="shared" si="3"/>
        <v>2632.96</v>
      </c>
    </row>
    <row r="58" spans="1:20" s="30" customFormat="1" x14ac:dyDescent="0.25">
      <c r="A58" s="24" t="s">
        <v>24</v>
      </c>
      <c r="B58" s="40"/>
      <c r="C58" s="40"/>
      <c r="D58" s="24"/>
      <c r="E58" s="24"/>
      <c r="F58" s="40" t="e">
        <f t="shared" si="2"/>
        <v>#REF!</v>
      </c>
      <c r="G58" s="40" t="e">
        <f t="shared" si="2"/>
        <v>#REF!</v>
      </c>
      <c r="H58" s="41"/>
      <c r="K58" s="30" t="str">
        <f>"""GP"",""Ute Indian Tribe Membership Fund"",""aaa_contract_detail_sp"",""JRNENTRY"",""1619972"",""aaGLHdrID"",""1788116"",""aaGLDistID"",""12"",""aaGLAssignID"",""1"",""contract"",""3460 92 URHS FY2025"""</f>
        <v>"GP","Ute Indian Tribe Membership Fund","aaa_contract_detail_sp","JRNENTRY","1619972","aaGLHdrID","1788116","aaGLDistID","12","aaGLAssignID","1","contract","3460 92 URHS FY2025"</v>
      </c>
      <c r="L58" s="42">
        <v>45883</v>
      </c>
      <c r="M58" s="30">
        <v>1619972</v>
      </c>
      <c r="N58" s="30" t="str">
        <f>""</f>
        <v/>
      </c>
      <c r="O58" s="30" t="str">
        <f>""</f>
        <v/>
      </c>
      <c r="P58" s="30" t="str">
        <f>""</f>
        <v/>
      </c>
      <c r="Q58" s="43" t="str">
        <f>""</f>
        <v/>
      </c>
      <c r="R58" s="44">
        <v>1361.28</v>
      </c>
      <c r="S58" s="44">
        <v>0</v>
      </c>
      <c r="T58" s="45">
        <f t="shared" si="3"/>
        <v>1361.28</v>
      </c>
    </row>
    <row r="59" spans="1:20" s="30" customFormat="1" x14ac:dyDescent="0.25">
      <c r="A59" s="24" t="s">
        <v>24</v>
      </c>
      <c r="B59" s="40"/>
      <c r="C59" s="40"/>
      <c r="D59" s="24"/>
      <c r="E59" s="24"/>
      <c r="F59" s="40" t="e">
        <f t="shared" si="2"/>
        <v>#REF!</v>
      </c>
      <c r="G59" s="40" t="e">
        <f t="shared" si="2"/>
        <v>#REF!</v>
      </c>
      <c r="H59" s="41"/>
      <c r="K59" s="30" t="str">
        <f>"""GP"",""Ute Indian Tribe Membership Fund"",""aaa_contract_detail_sp"",""JRNENTRY"",""1619975"",""aaGLHdrID"",""1788119"",""aaGLDistID"",""12"",""aaGLAssignID"",""1"",""contract"",""3460 92 URHS FY2025"""</f>
        <v>"GP","Ute Indian Tribe Membership Fund","aaa_contract_detail_sp","JRNENTRY","1619975","aaGLHdrID","1788119","aaGLDistID","12","aaGLAssignID","1","contract","3460 92 URHS FY2025"</v>
      </c>
      <c r="L59" s="42">
        <v>45883</v>
      </c>
      <c r="M59" s="30">
        <v>1619975</v>
      </c>
      <c r="N59" s="30" t="str">
        <f>""</f>
        <v/>
      </c>
      <c r="O59" s="30" t="str">
        <f>""</f>
        <v/>
      </c>
      <c r="P59" s="30" t="str">
        <f>""</f>
        <v/>
      </c>
      <c r="Q59" s="43" t="str">
        <f>""</f>
        <v/>
      </c>
      <c r="R59" s="44">
        <v>1550.72</v>
      </c>
      <c r="S59" s="44">
        <v>0</v>
      </c>
      <c r="T59" s="45">
        <f t="shared" si="3"/>
        <v>1550.72</v>
      </c>
    </row>
    <row r="60" spans="1:20" s="30" customFormat="1" x14ac:dyDescent="0.25">
      <c r="A60" s="24" t="s">
        <v>24</v>
      </c>
      <c r="B60" s="40"/>
      <c r="C60" s="40"/>
      <c r="D60" s="24"/>
      <c r="E60" s="24"/>
      <c r="F60" s="40" t="e">
        <f t="shared" si="2"/>
        <v>#REF!</v>
      </c>
      <c r="G60" s="40" t="e">
        <f t="shared" si="2"/>
        <v>#REF!</v>
      </c>
      <c r="H60" s="41"/>
      <c r="K60" s="30" t="str">
        <f>"""GP"",""Ute Indian Tribe Membership Fund"",""aaa_contract_detail_sp"",""JRNENTRY"",""1619979"",""aaGLHdrID"",""1788123"",""aaGLDistID"",""15"",""aaGLAssignID"",""1"",""contract"",""3460 92 URHS FY2025"""</f>
        <v>"GP","Ute Indian Tribe Membership Fund","aaa_contract_detail_sp","JRNENTRY","1619979","aaGLHdrID","1788123","aaGLDistID","15","aaGLAssignID","1","contract","3460 92 URHS FY2025"</v>
      </c>
      <c r="L60" s="42">
        <v>45883</v>
      </c>
      <c r="M60" s="30">
        <v>1619979</v>
      </c>
      <c r="N60" s="30" t="str">
        <f>""</f>
        <v/>
      </c>
      <c r="O60" s="30" t="str">
        <f>""</f>
        <v/>
      </c>
      <c r="P60" s="30" t="str">
        <f>""</f>
        <v/>
      </c>
      <c r="Q60" s="43" t="str">
        <f>""</f>
        <v/>
      </c>
      <c r="R60" s="44">
        <v>1675.52</v>
      </c>
      <c r="S60" s="44">
        <v>0</v>
      </c>
      <c r="T60" s="45">
        <f t="shared" si="3"/>
        <v>1675.52</v>
      </c>
    </row>
    <row r="61" spans="1:20" s="30" customFormat="1" x14ac:dyDescent="0.25">
      <c r="A61" s="24" t="s">
        <v>24</v>
      </c>
      <c r="B61" s="40"/>
      <c r="C61" s="40"/>
      <c r="D61" s="24"/>
      <c r="E61" s="24"/>
      <c r="F61" s="40" t="e">
        <f>#REF!</f>
        <v>#REF!</v>
      </c>
      <c r="G61" s="40" t="e">
        <f>#REF!</f>
        <v>#REF!</v>
      </c>
      <c r="H61" s="41"/>
    </row>
    <row r="62" spans="1:20" s="30" customFormat="1" ht="12.75" x14ac:dyDescent="0.2">
      <c r="A62" s="24" t="s">
        <v>24</v>
      </c>
      <c r="B62" s="24"/>
      <c r="C62" s="24"/>
      <c r="D62" s="24"/>
      <c r="E62" s="24"/>
      <c r="F62" s="24"/>
      <c r="G62" s="24"/>
      <c r="H62" s="29"/>
      <c r="I62" s="53" t="str">
        <f>I18&amp;"   "&amp;J18&amp;"         Total:"</f>
        <v>5021-0-6100-3460   Salaries and Wages         Total:</v>
      </c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46">
        <f>SUBTOTAL(9,T19:T61)</f>
        <v>94708.660000000033</v>
      </c>
    </row>
    <row r="63" spans="1:20" s="30" customFormat="1" ht="12.75" x14ac:dyDescent="0.2">
      <c r="A63" s="24" t="s">
        <v>24</v>
      </c>
      <c r="B63" s="24"/>
      <c r="C63" s="24"/>
      <c r="D63" s="24"/>
      <c r="E63" s="24"/>
      <c r="F63" s="24"/>
      <c r="G63" s="24"/>
      <c r="H63" s="29"/>
    </row>
    <row r="64" spans="1:20" s="30" customFormat="1" x14ac:dyDescent="0.25">
      <c r="A64" s="24" t="s">
        <v>24</v>
      </c>
      <c r="B64" s="24"/>
      <c r="C64" s="24"/>
      <c r="D64" s="24"/>
      <c r="E64" s="24"/>
      <c r="F64" s="24"/>
      <c r="G64" s="24"/>
      <c r="H64" s="29"/>
    </row>
    <row r="65" spans="1:20" s="30" customFormat="1" ht="12.75" x14ac:dyDescent="0.2">
      <c r="A65" s="24" t="s">
        <v>24</v>
      </c>
      <c r="B65" s="24"/>
      <c r="C65" s="24"/>
      <c r="D65" s="24"/>
      <c r="E65" s="24"/>
      <c r="F65" s="24" t="str">
        <f>"5021-0-6110-3460"</f>
        <v>5021-0-6110-3460</v>
      </c>
      <c r="G65" s="24" t="str">
        <f>"5021-0-6110-3460"</f>
        <v>5021-0-6110-3460</v>
      </c>
      <c r="H65" s="29"/>
      <c r="I65" s="38" t="str">
        <f>G65</f>
        <v>5021-0-6110-3460</v>
      </c>
      <c r="J65" s="38" t="str">
        <f>"Fringe Benefits - Taxes"</f>
        <v>Fringe Benefits - Taxes</v>
      </c>
      <c r="Q65" s="38"/>
      <c r="R65" s="39"/>
    </row>
    <row r="66" spans="1:20" s="30" customFormat="1" x14ac:dyDescent="0.25">
      <c r="A66" s="24" t="s">
        <v>24</v>
      </c>
      <c r="B66" s="40"/>
      <c r="C66" s="40"/>
      <c r="D66" s="24"/>
      <c r="E66" s="24"/>
      <c r="F66" s="40" t="e">
        <f>#REF!</f>
        <v>#REF!</v>
      </c>
      <c r="G66" s="40" t="e">
        <f>#REF!</f>
        <v>#REF!</v>
      </c>
      <c r="H66" s="41"/>
      <c r="K66" s="30" t="str">
        <f>"""GP"",""Ute Indian Tribe Membership Fund"",""aaa_contract_detail_sp"",""JRNENTRY"",""1612359"",""aaGLHdrID"",""1781970"",""aaGLDistID"",""16"",""aaGLAssignID"",""1"",""contract"",""3460 92 URHS FY2025"""</f>
        <v>"GP","Ute Indian Tribe Membership Fund","aaa_contract_detail_sp","JRNENTRY","1612359","aaGLHdrID","1781970","aaGLDistID","16","aaGLAssignID","1","contract","3460 92 URHS FY2025"</v>
      </c>
      <c r="L66" s="42">
        <v>45840</v>
      </c>
      <c r="M66" s="30">
        <v>1612359</v>
      </c>
      <c r="N66" s="30" t="str">
        <f>""</f>
        <v/>
      </c>
      <c r="O66" s="30" t="str">
        <f>""</f>
        <v/>
      </c>
      <c r="P66" s="30" t="str">
        <f>""</f>
        <v/>
      </c>
      <c r="Q66" s="43" t="str">
        <f>""</f>
        <v/>
      </c>
      <c r="R66" s="44">
        <v>143.16999999999999</v>
      </c>
      <c r="S66" s="44">
        <v>0</v>
      </c>
      <c r="T66" s="45">
        <f t="shared" ref="T66:T74" si="4">SUM(R66:S66)</f>
        <v>143.16999999999999</v>
      </c>
    </row>
    <row r="67" spans="1:20" s="30" customFormat="1" x14ac:dyDescent="0.25">
      <c r="A67" s="24" t="s">
        <v>24</v>
      </c>
      <c r="B67" s="40"/>
      <c r="C67" s="40"/>
      <c r="D67" s="24"/>
      <c r="E67" s="24"/>
      <c r="F67" s="40" t="e">
        <f t="shared" ref="F67:G74" si="5">F66</f>
        <v>#REF!</v>
      </c>
      <c r="G67" s="40" t="e">
        <f t="shared" si="5"/>
        <v>#REF!</v>
      </c>
      <c r="H67" s="41"/>
      <c r="K67" s="30" t="str">
        <f>"""GP"",""Ute Indian Tribe Membership Fund"",""aaa_contract_detail_sp"",""JRNENTRY"",""1612359"",""aaGLHdrID"",""1781970"",""aaGLDistID"",""17"",""aaGLAssignID"",""1"",""contract"",""3460 92 URHS FY2025"""</f>
        <v>"GP","Ute Indian Tribe Membership Fund","aaa_contract_detail_sp","JRNENTRY","1612359","aaGLHdrID","1781970","aaGLDistID","17","aaGLAssignID","1","contract","3460 92 URHS FY2025"</v>
      </c>
      <c r="L67" s="42">
        <v>45840</v>
      </c>
      <c r="M67" s="30">
        <v>1612359</v>
      </c>
      <c r="N67" s="30" t="str">
        <f>""</f>
        <v/>
      </c>
      <c r="O67" s="30" t="str">
        <f>""</f>
        <v/>
      </c>
      <c r="P67" s="30" t="str">
        <f>""</f>
        <v/>
      </c>
      <c r="Q67" s="43" t="str">
        <f>""</f>
        <v/>
      </c>
      <c r="R67" s="44">
        <v>33.479999999999997</v>
      </c>
      <c r="S67" s="44">
        <v>0</v>
      </c>
      <c r="T67" s="45">
        <f t="shared" si="4"/>
        <v>33.479999999999997</v>
      </c>
    </row>
    <row r="68" spans="1:20" s="30" customFormat="1" x14ac:dyDescent="0.25">
      <c r="A68" s="24" t="s">
        <v>24</v>
      </c>
      <c r="B68" s="40"/>
      <c r="C68" s="40"/>
      <c r="D68" s="24"/>
      <c r="E68" s="24"/>
      <c r="F68" s="40" t="e">
        <f t="shared" si="5"/>
        <v>#REF!</v>
      </c>
      <c r="G68" s="40" t="e">
        <f t="shared" si="5"/>
        <v>#REF!</v>
      </c>
      <c r="H68" s="41"/>
      <c r="K68" s="30" t="str">
        <f>"""GP"",""Ute Indian Tribe Membership Fund"",""aaa_contract_detail_sp"",""JRNENTRY"",""1612424"",""aaGLHdrID"",""1782035"",""aaGLDistID"",""17"",""aaGLAssignID"",""1"",""contract"",""3460 92 URHS FY2025"""</f>
        <v>"GP","Ute Indian Tribe Membership Fund","aaa_contract_detail_sp","JRNENTRY","1612424","aaGLHdrID","1782035","aaGLDistID","17","aaGLAssignID","1","contract","3460 92 URHS FY2025"</v>
      </c>
      <c r="L68" s="42">
        <v>45840</v>
      </c>
      <c r="M68" s="30">
        <v>1612424</v>
      </c>
      <c r="N68" s="30" t="str">
        <f>""</f>
        <v/>
      </c>
      <c r="O68" s="30" t="str">
        <f>""</f>
        <v/>
      </c>
      <c r="P68" s="30" t="str">
        <f>""</f>
        <v/>
      </c>
      <c r="Q68" s="43" t="str">
        <f>""</f>
        <v/>
      </c>
      <c r="R68" s="44">
        <v>176.62</v>
      </c>
      <c r="S68" s="44">
        <v>0</v>
      </c>
      <c r="T68" s="45">
        <f t="shared" si="4"/>
        <v>176.62</v>
      </c>
    </row>
    <row r="69" spans="1:20" s="30" customFormat="1" x14ac:dyDescent="0.25">
      <c r="A69" s="24" t="s">
        <v>24</v>
      </c>
      <c r="B69" s="40"/>
      <c r="C69" s="40"/>
      <c r="D69" s="24"/>
      <c r="E69" s="24"/>
      <c r="F69" s="40" t="e">
        <f t="shared" si="5"/>
        <v>#REF!</v>
      </c>
      <c r="G69" s="40" t="e">
        <f t="shared" si="5"/>
        <v>#REF!</v>
      </c>
      <c r="H69" s="41"/>
      <c r="K69" s="30" t="str">
        <f>"""GP"",""Ute Indian Tribe Membership Fund"",""aaa_contract_detail_sp"",""JRNENTRY"",""1612424"",""aaGLHdrID"",""1782035"",""aaGLDistID"",""18"",""aaGLAssignID"",""1"",""contract"",""3460 92 URHS FY2025"""</f>
        <v>"GP","Ute Indian Tribe Membership Fund","aaa_contract_detail_sp","JRNENTRY","1612424","aaGLHdrID","1782035","aaGLDistID","18","aaGLAssignID","1","contract","3460 92 URHS FY2025"</v>
      </c>
      <c r="L69" s="42">
        <v>45840</v>
      </c>
      <c r="M69" s="30">
        <v>1612424</v>
      </c>
      <c r="N69" s="30" t="str">
        <f>""</f>
        <v/>
      </c>
      <c r="O69" s="30" t="str">
        <f>""</f>
        <v/>
      </c>
      <c r="P69" s="30" t="str">
        <f>""</f>
        <v/>
      </c>
      <c r="Q69" s="43" t="str">
        <f>""</f>
        <v/>
      </c>
      <c r="R69" s="44">
        <v>41.31</v>
      </c>
      <c r="S69" s="44">
        <v>0</v>
      </c>
      <c r="T69" s="45">
        <f t="shared" si="4"/>
        <v>41.31</v>
      </c>
    </row>
    <row r="70" spans="1:20" s="30" customFormat="1" x14ac:dyDescent="0.25">
      <c r="A70" s="24" t="s">
        <v>24</v>
      </c>
      <c r="B70" s="40"/>
      <c r="C70" s="40"/>
      <c r="D70" s="24"/>
      <c r="E70" s="24"/>
      <c r="F70" s="40" t="e">
        <f t="shared" si="5"/>
        <v>#REF!</v>
      </c>
      <c r="G70" s="40" t="e">
        <f t="shared" si="5"/>
        <v>#REF!</v>
      </c>
      <c r="H70" s="41"/>
      <c r="K70" s="30" t="str">
        <f>"""GP"",""Ute Indian Tribe Membership Fund"",""aaa_contract_detail_sp"",""JRNENTRY"",""1612511"",""aaGLHdrID"",""1782121"",""aaGLDistID"",""16"",""aaGLAssignID"",""1"",""contract"",""3460 92 URHS FY2025"""</f>
        <v>"GP","Ute Indian Tribe Membership Fund","aaa_contract_detail_sp","JRNENTRY","1612511","aaGLHdrID","1782121","aaGLDistID","16","aaGLAssignID","1","contract","3460 92 URHS FY2025"</v>
      </c>
      <c r="L70" s="42">
        <v>45840</v>
      </c>
      <c r="M70" s="30">
        <v>1612511</v>
      </c>
      <c r="N70" s="30" t="str">
        <f>""</f>
        <v/>
      </c>
      <c r="O70" s="30" t="str">
        <f>""</f>
        <v/>
      </c>
      <c r="P70" s="30" t="str">
        <f>""</f>
        <v/>
      </c>
      <c r="Q70" s="43" t="str">
        <f>""</f>
        <v/>
      </c>
      <c r="R70" s="44">
        <v>194.72</v>
      </c>
      <c r="S70" s="44">
        <v>0</v>
      </c>
      <c r="T70" s="45">
        <f t="shared" si="4"/>
        <v>194.72</v>
      </c>
    </row>
    <row r="71" spans="1:20" s="30" customFormat="1" x14ac:dyDescent="0.25">
      <c r="A71" s="24" t="s">
        <v>24</v>
      </c>
      <c r="B71" s="40"/>
      <c r="C71" s="40"/>
      <c r="D71" s="24"/>
      <c r="E71" s="24"/>
      <c r="F71" s="40" t="e">
        <f t="shared" si="5"/>
        <v>#REF!</v>
      </c>
      <c r="G71" s="40" t="e">
        <f t="shared" si="5"/>
        <v>#REF!</v>
      </c>
      <c r="H71" s="41"/>
      <c r="K71" s="30" t="str">
        <f>"""GP"",""Ute Indian Tribe Membership Fund"",""aaa_contract_detail_sp"",""JRNENTRY"",""1612511"",""aaGLHdrID"",""1782121"",""aaGLDistID"",""17"",""aaGLAssignID"",""1"",""contract"",""3460 92 URHS FY2025"""</f>
        <v>"GP","Ute Indian Tribe Membership Fund","aaa_contract_detail_sp","JRNENTRY","1612511","aaGLHdrID","1782121","aaGLDistID","17","aaGLAssignID","1","contract","3460 92 URHS FY2025"</v>
      </c>
      <c r="L71" s="42">
        <v>45840</v>
      </c>
      <c r="M71" s="30">
        <v>1612511</v>
      </c>
      <c r="N71" s="30" t="str">
        <f>""</f>
        <v/>
      </c>
      <c r="O71" s="30" t="str">
        <f>""</f>
        <v/>
      </c>
      <c r="P71" s="30" t="str">
        <f>""</f>
        <v/>
      </c>
      <c r="Q71" s="43" t="str">
        <f>""</f>
        <v/>
      </c>
      <c r="R71" s="44">
        <v>45.54</v>
      </c>
      <c r="S71" s="44">
        <v>0</v>
      </c>
      <c r="T71" s="45">
        <f t="shared" si="4"/>
        <v>45.54</v>
      </c>
    </row>
    <row r="72" spans="1:20" s="30" customFormat="1" x14ac:dyDescent="0.25">
      <c r="A72" s="24" t="s">
        <v>24</v>
      </c>
      <c r="B72" s="40"/>
      <c r="C72" s="40"/>
      <c r="D72" s="24"/>
      <c r="E72" s="24"/>
      <c r="F72" s="40" t="e">
        <f t="shared" si="5"/>
        <v>#REF!</v>
      </c>
      <c r="G72" s="40" t="e">
        <f t="shared" si="5"/>
        <v>#REF!</v>
      </c>
      <c r="H72" s="41"/>
      <c r="K72" s="30" t="str">
        <f>"""GP"",""Ute Indian Tribe Membership Fund"",""aaa_contract_detail_sp"",""JRNENTRY"",""1612515"",""aaGLHdrID"",""1782125"",""aaGLDistID"",""17"",""aaGLAssignID"",""1"",""contract"",""3460 92 URHS FY2025"""</f>
        <v>"GP","Ute Indian Tribe Membership Fund","aaa_contract_detail_sp","JRNENTRY","1612515","aaGLHdrID","1782125","aaGLDistID","17","aaGLAssignID","1","contract","3460 92 URHS FY2025"</v>
      </c>
      <c r="L72" s="42">
        <v>45840</v>
      </c>
      <c r="M72" s="30">
        <v>1612515</v>
      </c>
      <c r="N72" s="30" t="str">
        <f>""</f>
        <v/>
      </c>
      <c r="O72" s="30" t="str">
        <f>""</f>
        <v/>
      </c>
      <c r="P72" s="30" t="str">
        <f>""</f>
        <v/>
      </c>
      <c r="Q72" s="43" t="str">
        <f>""</f>
        <v/>
      </c>
      <c r="R72" s="44">
        <v>240.22</v>
      </c>
      <c r="S72" s="44">
        <v>0</v>
      </c>
      <c r="T72" s="45">
        <f t="shared" si="4"/>
        <v>240.22</v>
      </c>
    </row>
    <row r="73" spans="1:20" s="30" customFormat="1" x14ac:dyDescent="0.25">
      <c r="A73" s="24" t="s">
        <v>24</v>
      </c>
      <c r="B73" s="40"/>
      <c r="C73" s="40"/>
      <c r="D73" s="24"/>
      <c r="E73" s="24"/>
      <c r="F73" s="40" t="e">
        <f t="shared" si="5"/>
        <v>#REF!</v>
      </c>
      <c r="G73" s="40" t="e">
        <f t="shared" si="5"/>
        <v>#REF!</v>
      </c>
      <c r="H73" s="41"/>
      <c r="K73" s="30" t="str">
        <f>"""GP"",""Ute Indian Tribe Membership Fund"",""aaa_contract_detail_sp"",""JRNENTRY"",""1612515"",""aaGLHdrID"",""1782125"",""aaGLDistID"",""18"",""aaGLAssignID"",""1"",""contract"",""3460 92 URHS FY2025"""</f>
        <v>"GP","Ute Indian Tribe Membership Fund","aaa_contract_detail_sp","JRNENTRY","1612515","aaGLHdrID","1782125","aaGLDistID","18","aaGLAssignID","1","contract","3460 92 URHS FY2025"</v>
      </c>
      <c r="L73" s="42">
        <v>45840</v>
      </c>
      <c r="M73" s="30">
        <v>1612515</v>
      </c>
      <c r="N73" s="30" t="str">
        <f>""</f>
        <v/>
      </c>
      <c r="O73" s="30" t="str">
        <f>""</f>
        <v/>
      </c>
      <c r="P73" s="30" t="str">
        <f>""</f>
        <v/>
      </c>
      <c r="Q73" s="43" t="str">
        <f>""</f>
        <v/>
      </c>
      <c r="R73" s="44">
        <v>56.18</v>
      </c>
      <c r="S73" s="44">
        <v>0</v>
      </c>
      <c r="T73" s="45">
        <f t="shared" si="4"/>
        <v>56.18</v>
      </c>
    </row>
    <row r="74" spans="1:20" s="30" customFormat="1" x14ac:dyDescent="0.25">
      <c r="A74" s="24" t="s">
        <v>24</v>
      </c>
      <c r="B74" s="40"/>
      <c r="C74" s="40"/>
      <c r="D74" s="24"/>
      <c r="E74" s="24"/>
      <c r="F74" s="40" t="e">
        <f t="shared" si="5"/>
        <v>#REF!</v>
      </c>
      <c r="G74" s="40" t="e">
        <f t="shared" si="5"/>
        <v>#REF!</v>
      </c>
      <c r="H74" s="41"/>
      <c r="K74" s="30" t="str">
        <f>"""GP"",""Ute Indian Tribe Membership Fund"",""aaa_contract_detail_sp"",""JRNENTRY"",""1612562"",""aaGLHdrID"",""1782172"",""aaGLDistID"",""15"",""aaGLAssignID"",""1"",""contract"",""3460 92 URHS FY2025"""</f>
        <v>"GP","Ute Indian Tribe Membership Fund","aaa_contract_detail_sp","JRNENTRY","1612562","aaGLHdrID","1782172","aaGLDistID","15","aaGLAssignID","1","contract","3460 92 URHS FY2025"</v>
      </c>
      <c r="L74" s="42">
        <v>45840</v>
      </c>
      <c r="M74" s="30">
        <v>1612562</v>
      </c>
      <c r="N74" s="30" t="str">
        <f>""</f>
        <v/>
      </c>
      <c r="O74" s="30" t="str">
        <f>""</f>
        <v/>
      </c>
      <c r="P74" s="30" t="str">
        <f>""</f>
        <v/>
      </c>
      <c r="Q74" s="43" t="str">
        <f>""</f>
        <v/>
      </c>
      <c r="R74" s="44">
        <v>165.99</v>
      </c>
      <c r="S74" s="44">
        <v>0</v>
      </c>
      <c r="T74" s="45">
        <f t="shared" si="4"/>
        <v>165.99</v>
      </c>
    </row>
    <row r="75" spans="1:20" s="30" customFormat="1" x14ac:dyDescent="0.25">
      <c r="A75" s="24" t="s">
        <v>24</v>
      </c>
      <c r="B75" s="40"/>
      <c r="C75" s="40"/>
      <c r="D75" s="24"/>
      <c r="E75" s="24"/>
      <c r="F75" s="40" t="e">
        <f t="shared" ref="F75:G138" si="6">F74</f>
        <v>#REF!</v>
      </c>
      <c r="G75" s="40" t="e">
        <f t="shared" si="6"/>
        <v>#REF!</v>
      </c>
      <c r="H75" s="41"/>
      <c r="K75" s="30" t="str">
        <f>"""GP"",""Ute Indian Tribe Membership Fund"",""aaa_contract_detail_sp"",""JRNENTRY"",""1612562"",""aaGLHdrID"",""1782172"",""aaGLDistID"",""16"",""aaGLAssignID"",""1"",""contract"",""3460 92 URHS FY2025"""</f>
        <v>"GP","Ute Indian Tribe Membership Fund","aaa_contract_detail_sp","JRNENTRY","1612562","aaGLHdrID","1782172","aaGLDistID","16","aaGLAssignID","1","contract","3460 92 URHS FY2025"</v>
      </c>
      <c r="L75" s="42">
        <v>45840</v>
      </c>
      <c r="M75" s="30">
        <v>1612562</v>
      </c>
      <c r="N75" s="30" t="str">
        <f>""</f>
        <v/>
      </c>
      <c r="O75" s="30" t="str">
        <f>""</f>
        <v/>
      </c>
      <c r="P75" s="30" t="str">
        <f>""</f>
        <v/>
      </c>
      <c r="Q75" s="43" t="str">
        <f>""</f>
        <v/>
      </c>
      <c r="R75" s="44">
        <v>38.82</v>
      </c>
      <c r="S75" s="44">
        <v>0</v>
      </c>
      <c r="T75" s="45">
        <f t="shared" ref="T75:T138" si="7">SUM(R75:S75)</f>
        <v>38.82</v>
      </c>
    </row>
    <row r="76" spans="1:20" s="30" customFormat="1" x14ac:dyDescent="0.25">
      <c r="A76" s="24" t="s">
        <v>24</v>
      </c>
      <c r="B76" s="40"/>
      <c r="C76" s="40"/>
      <c r="D76" s="24"/>
      <c r="E76" s="24"/>
      <c r="F76" s="40" t="e">
        <f t="shared" si="6"/>
        <v>#REF!</v>
      </c>
      <c r="G76" s="40" t="e">
        <f t="shared" si="6"/>
        <v>#REF!</v>
      </c>
      <c r="H76" s="41"/>
      <c r="K76" s="30" t="str">
        <f>"""GP"",""Ute Indian Tribe Membership Fund"",""aaa_contract_detail_sp"",""JRNENTRY"",""1612563"",""aaGLHdrID"",""1782173"",""aaGLDistID"",""14"",""aaGLAssignID"",""1"",""contract"",""3460 92 URHS FY2025"""</f>
        <v>"GP","Ute Indian Tribe Membership Fund","aaa_contract_detail_sp","JRNENTRY","1612563","aaGLHdrID","1782173","aaGLDistID","14","aaGLAssignID","1","contract","3460 92 URHS FY2025"</v>
      </c>
      <c r="L76" s="42">
        <v>45840</v>
      </c>
      <c r="M76" s="30">
        <v>1612563</v>
      </c>
      <c r="N76" s="30" t="str">
        <f>""</f>
        <v/>
      </c>
      <c r="O76" s="30" t="str">
        <f>""</f>
        <v/>
      </c>
      <c r="P76" s="30" t="str">
        <f>""</f>
        <v/>
      </c>
      <c r="Q76" s="43" t="str">
        <f>""</f>
        <v/>
      </c>
      <c r="R76" s="44">
        <v>176.54</v>
      </c>
      <c r="S76" s="44">
        <v>0</v>
      </c>
      <c r="T76" s="45">
        <f t="shared" si="7"/>
        <v>176.54</v>
      </c>
    </row>
    <row r="77" spans="1:20" s="30" customFormat="1" x14ac:dyDescent="0.25">
      <c r="A77" s="24" t="s">
        <v>24</v>
      </c>
      <c r="B77" s="40"/>
      <c r="C77" s="40"/>
      <c r="D77" s="24"/>
      <c r="E77" s="24"/>
      <c r="F77" s="40" t="e">
        <f t="shared" si="6"/>
        <v>#REF!</v>
      </c>
      <c r="G77" s="40" t="e">
        <f t="shared" si="6"/>
        <v>#REF!</v>
      </c>
      <c r="H77" s="41"/>
      <c r="K77" s="30" t="str">
        <f>"""GP"",""Ute Indian Tribe Membership Fund"",""aaa_contract_detail_sp"",""JRNENTRY"",""1612563"",""aaGLHdrID"",""1782173"",""aaGLDistID"",""15"",""aaGLAssignID"",""1"",""contract"",""3460 92 URHS FY2025"""</f>
        <v>"GP","Ute Indian Tribe Membership Fund","aaa_contract_detail_sp","JRNENTRY","1612563","aaGLHdrID","1782173","aaGLDistID","15","aaGLAssignID","1","contract","3460 92 URHS FY2025"</v>
      </c>
      <c r="L77" s="42">
        <v>45840</v>
      </c>
      <c r="M77" s="30">
        <v>1612563</v>
      </c>
      <c r="N77" s="30" t="str">
        <f>""</f>
        <v/>
      </c>
      <c r="O77" s="30" t="str">
        <f>""</f>
        <v/>
      </c>
      <c r="P77" s="30" t="str">
        <f>""</f>
        <v/>
      </c>
      <c r="Q77" s="43" t="str">
        <f>""</f>
        <v/>
      </c>
      <c r="R77" s="44">
        <v>41.29</v>
      </c>
      <c r="S77" s="44">
        <v>0</v>
      </c>
      <c r="T77" s="45">
        <f t="shared" si="7"/>
        <v>41.29</v>
      </c>
    </row>
    <row r="78" spans="1:20" s="30" customFormat="1" x14ac:dyDescent="0.25">
      <c r="A78" s="24" t="s">
        <v>24</v>
      </c>
      <c r="B78" s="40"/>
      <c r="C78" s="40"/>
      <c r="D78" s="24"/>
      <c r="E78" s="24"/>
      <c r="F78" s="40" t="e">
        <f t="shared" si="6"/>
        <v>#REF!</v>
      </c>
      <c r="G78" s="40" t="e">
        <f t="shared" si="6"/>
        <v>#REF!</v>
      </c>
      <c r="H78" s="41"/>
      <c r="K78" s="30" t="str">
        <f>"""GP"",""Ute Indian Tribe Membership Fund"",""aaa_contract_detail_sp"",""JRNENTRY"",""1612680"",""aaGLHdrID"",""1782290"",""aaGLDistID"",""14"",""aaGLAssignID"",""1"",""contract"",""3460 92 URHS FY2025"""</f>
        <v>"GP","Ute Indian Tribe Membership Fund","aaa_contract_detail_sp","JRNENTRY","1612680","aaGLHdrID","1782290","aaGLDistID","14","aaGLAssignID","1","contract","3460 92 URHS FY2025"</v>
      </c>
      <c r="L78" s="42">
        <v>45840</v>
      </c>
      <c r="M78" s="30">
        <v>1612680</v>
      </c>
      <c r="N78" s="30" t="str">
        <f>""</f>
        <v/>
      </c>
      <c r="O78" s="30" t="str">
        <f>""</f>
        <v/>
      </c>
      <c r="P78" s="30" t="str">
        <f>""</f>
        <v/>
      </c>
      <c r="Q78" s="43" t="str">
        <f>""</f>
        <v/>
      </c>
      <c r="R78" s="44">
        <v>161.77000000000001</v>
      </c>
      <c r="S78" s="44">
        <v>0</v>
      </c>
      <c r="T78" s="45">
        <f t="shared" si="7"/>
        <v>161.77000000000001</v>
      </c>
    </row>
    <row r="79" spans="1:20" s="30" customFormat="1" x14ac:dyDescent="0.25">
      <c r="A79" s="24" t="s">
        <v>24</v>
      </c>
      <c r="B79" s="40"/>
      <c r="C79" s="40"/>
      <c r="D79" s="24"/>
      <c r="E79" s="24"/>
      <c r="F79" s="40" t="e">
        <f t="shared" si="6"/>
        <v>#REF!</v>
      </c>
      <c r="G79" s="40" t="e">
        <f t="shared" si="6"/>
        <v>#REF!</v>
      </c>
      <c r="H79" s="41"/>
      <c r="K79" s="30" t="str">
        <f>"""GP"",""Ute Indian Tribe Membership Fund"",""aaa_contract_detail_sp"",""JRNENTRY"",""1612680"",""aaGLHdrID"",""1782290"",""aaGLDistID"",""15"",""aaGLAssignID"",""1"",""contract"",""3460 92 URHS FY2025"""</f>
        <v>"GP","Ute Indian Tribe Membership Fund","aaa_contract_detail_sp","JRNENTRY","1612680","aaGLHdrID","1782290","aaGLDistID","15","aaGLAssignID","1","contract","3460 92 URHS FY2025"</v>
      </c>
      <c r="L79" s="42">
        <v>45840</v>
      </c>
      <c r="M79" s="30">
        <v>1612680</v>
      </c>
      <c r="N79" s="30" t="str">
        <f>""</f>
        <v/>
      </c>
      <c r="O79" s="30" t="str">
        <f>""</f>
        <v/>
      </c>
      <c r="P79" s="30" t="str">
        <f>""</f>
        <v/>
      </c>
      <c r="Q79" s="43" t="str">
        <f>""</f>
        <v/>
      </c>
      <c r="R79" s="44">
        <v>37.83</v>
      </c>
      <c r="S79" s="44">
        <v>0</v>
      </c>
      <c r="T79" s="45">
        <f t="shared" si="7"/>
        <v>37.83</v>
      </c>
    </row>
    <row r="80" spans="1:20" s="30" customFormat="1" x14ac:dyDescent="0.25">
      <c r="A80" s="24" t="s">
        <v>24</v>
      </c>
      <c r="B80" s="40"/>
      <c r="C80" s="40"/>
      <c r="D80" s="24"/>
      <c r="E80" s="24"/>
      <c r="F80" s="40" t="e">
        <f t="shared" si="6"/>
        <v>#REF!</v>
      </c>
      <c r="G80" s="40" t="e">
        <f t="shared" si="6"/>
        <v>#REF!</v>
      </c>
      <c r="H80" s="41"/>
      <c r="K80" s="30" t="str">
        <f>"""GP"",""Ute Indian Tribe Membership Fund"",""aaa_contract_detail_sp"",""JRNENTRY"",""1612757"",""aaGLHdrID"",""1782367"",""aaGLDistID"",""13"",""aaGLAssignID"",""1"",""contract"",""3460 92 URHS FY2025"""</f>
        <v>"GP","Ute Indian Tribe Membership Fund","aaa_contract_detail_sp","JRNENTRY","1612757","aaGLHdrID","1782367","aaGLDistID","13","aaGLAssignID","1","contract","3460 92 URHS FY2025"</v>
      </c>
      <c r="L80" s="42">
        <v>45840</v>
      </c>
      <c r="M80" s="30">
        <v>1612757</v>
      </c>
      <c r="N80" s="30" t="str">
        <f>""</f>
        <v/>
      </c>
      <c r="O80" s="30" t="str">
        <f>""</f>
        <v/>
      </c>
      <c r="P80" s="30" t="str">
        <f>""</f>
        <v/>
      </c>
      <c r="Q80" s="43" t="str">
        <f>""</f>
        <v/>
      </c>
      <c r="R80" s="44">
        <v>86.38</v>
      </c>
      <c r="S80" s="44">
        <v>0</v>
      </c>
      <c r="T80" s="45">
        <f t="shared" si="7"/>
        <v>86.38</v>
      </c>
    </row>
    <row r="81" spans="1:20" s="30" customFormat="1" x14ac:dyDescent="0.25">
      <c r="A81" s="24" t="s">
        <v>24</v>
      </c>
      <c r="B81" s="40"/>
      <c r="C81" s="40"/>
      <c r="D81" s="24"/>
      <c r="E81" s="24"/>
      <c r="F81" s="40" t="e">
        <f t="shared" si="6"/>
        <v>#REF!</v>
      </c>
      <c r="G81" s="40" t="e">
        <f t="shared" si="6"/>
        <v>#REF!</v>
      </c>
      <c r="H81" s="41"/>
      <c r="K81" s="30" t="str">
        <f>"""GP"",""Ute Indian Tribe Membership Fund"",""aaa_contract_detail_sp"",""JRNENTRY"",""1612757"",""aaGLHdrID"",""1782367"",""aaGLDistID"",""14"",""aaGLAssignID"",""1"",""contract"",""3460 92 URHS FY2025"""</f>
        <v>"GP","Ute Indian Tribe Membership Fund","aaa_contract_detail_sp","JRNENTRY","1612757","aaGLHdrID","1782367","aaGLDistID","14","aaGLAssignID","1","contract","3460 92 URHS FY2025"</v>
      </c>
      <c r="L81" s="42">
        <v>45840</v>
      </c>
      <c r="M81" s="30">
        <v>1612757</v>
      </c>
      <c r="N81" s="30" t="str">
        <f>""</f>
        <v/>
      </c>
      <c r="O81" s="30" t="str">
        <f>""</f>
        <v/>
      </c>
      <c r="P81" s="30" t="str">
        <f>""</f>
        <v/>
      </c>
      <c r="Q81" s="43" t="str">
        <f>""</f>
        <v/>
      </c>
      <c r="R81" s="44">
        <v>20.21</v>
      </c>
      <c r="S81" s="44">
        <v>0</v>
      </c>
      <c r="T81" s="45">
        <f t="shared" si="7"/>
        <v>20.21</v>
      </c>
    </row>
    <row r="82" spans="1:20" s="30" customFormat="1" x14ac:dyDescent="0.25">
      <c r="A82" s="24" t="s">
        <v>24</v>
      </c>
      <c r="B82" s="40"/>
      <c r="C82" s="40"/>
      <c r="D82" s="24"/>
      <c r="E82" s="24"/>
      <c r="F82" s="40" t="e">
        <f t="shared" si="6"/>
        <v>#REF!</v>
      </c>
      <c r="G82" s="40" t="e">
        <f t="shared" si="6"/>
        <v>#REF!</v>
      </c>
      <c r="H82" s="41"/>
      <c r="K82" s="30" t="str">
        <f>"""GP"",""Ute Indian Tribe Membership Fund"",""aaa_contract_detail_sp"",""JRNENTRY"",""1612760"",""aaGLHdrID"",""1782370"",""aaGLDistID"",""16"",""aaGLAssignID"",""1"",""contract"",""3460 92 URHS FY2025"""</f>
        <v>"GP","Ute Indian Tribe Membership Fund","aaa_contract_detail_sp","JRNENTRY","1612760","aaGLHdrID","1782370","aaGLDistID","16","aaGLAssignID","1","contract","3460 92 URHS FY2025"</v>
      </c>
      <c r="L82" s="42">
        <v>45840</v>
      </c>
      <c r="M82" s="30">
        <v>1612760</v>
      </c>
      <c r="N82" s="30" t="str">
        <f>""</f>
        <v/>
      </c>
      <c r="O82" s="30" t="str">
        <f>""</f>
        <v/>
      </c>
      <c r="P82" s="30" t="str">
        <f>""</f>
        <v/>
      </c>
      <c r="Q82" s="43" t="str">
        <f>""</f>
        <v/>
      </c>
      <c r="R82" s="44">
        <v>93.8</v>
      </c>
      <c r="S82" s="44">
        <v>0</v>
      </c>
      <c r="T82" s="45">
        <f t="shared" si="7"/>
        <v>93.8</v>
      </c>
    </row>
    <row r="83" spans="1:20" s="30" customFormat="1" x14ac:dyDescent="0.25">
      <c r="A83" s="24" t="s">
        <v>24</v>
      </c>
      <c r="B83" s="40"/>
      <c r="C83" s="40"/>
      <c r="D83" s="24"/>
      <c r="E83" s="24"/>
      <c r="F83" s="40" t="e">
        <f t="shared" si="6"/>
        <v>#REF!</v>
      </c>
      <c r="G83" s="40" t="e">
        <f t="shared" si="6"/>
        <v>#REF!</v>
      </c>
      <c r="H83" s="41"/>
      <c r="K83" s="30" t="str">
        <f>"""GP"",""Ute Indian Tribe Membership Fund"",""aaa_contract_detail_sp"",""JRNENTRY"",""1612760"",""aaGLHdrID"",""1782370"",""aaGLDistID"",""17"",""aaGLAssignID"",""1"",""contract"",""3460 92 URHS FY2025"""</f>
        <v>"GP","Ute Indian Tribe Membership Fund","aaa_contract_detail_sp","JRNENTRY","1612760","aaGLHdrID","1782370","aaGLDistID","17","aaGLAssignID","1","contract","3460 92 URHS FY2025"</v>
      </c>
      <c r="L83" s="42">
        <v>45840</v>
      </c>
      <c r="M83" s="30">
        <v>1612760</v>
      </c>
      <c r="N83" s="30" t="str">
        <f>""</f>
        <v/>
      </c>
      <c r="O83" s="30" t="str">
        <f>""</f>
        <v/>
      </c>
      <c r="P83" s="30" t="str">
        <f>""</f>
        <v/>
      </c>
      <c r="Q83" s="43" t="str">
        <f>""</f>
        <v/>
      </c>
      <c r="R83" s="44">
        <v>21.93</v>
      </c>
      <c r="S83" s="44">
        <v>0</v>
      </c>
      <c r="T83" s="45">
        <f t="shared" si="7"/>
        <v>21.93</v>
      </c>
    </row>
    <row r="84" spans="1:20" s="30" customFormat="1" x14ac:dyDescent="0.25">
      <c r="A84" s="24" t="s">
        <v>24</v>
      </c>
      <c r="B84" s="40"/>
      <c r="C84" s="40"/>
      <c r="D84" s="24"/>
      <c r="E84" s="24"/>
      <c r="F84" s="40" t="e">
        <f t="shared" si="6"/>
        <v>#REF!</v>
      </c>
      <c r="G84" s="40" t="e">
        <f t="shared" si="6"/>
        <v>#REF!</v>
      </c>
      <c r="H84" s="41"/>
      <c r="K84" s="30" t="str">
        <f>"""GP"",""Ute Indian Tribe Membership Fund"",""aaa_contract_detail_sp"",""JRNENTRY"",""1617618"",""aaGLHdrID"",""1786375"",""aaGLDistID"",""24"",""aaGLAssignID"",""1"",""contract"",""3460 92 URHS FY2025"""</f>
        <v>"GP","Ute Indian Tribe Membership Fund","aaa_contract_detail_sp","JRNENTRY","1617618","aaGLHdrID","1786375","aaGLDistID","24","aaGLAssignID","1","contract","3460 92 URHS FY2025"</v>
      </c>
      <c r="L84" s="42">
        <v>45841</v>
      </c>
      <c r="M84" s="30">
        <v>1617618</v>
      </c>
      <c r="N84" s="30" t="str">
        <f>""</f>
        <v/>
      </c>
      <c r="O84" s="30" t="str">
        <f>""</f>
        <v/>
      </c>
      <c r="P84" s="30" t="str">
        <f>""</f>
        <v/>
      </c>
      <c r="Q84" s="43" t="str">
        <f>""</f>
        <v/>
      </c>
      <c r="R84" s="44">
        <v>14.53</v>
      </c>
      <c r="S84" s="44">
        <v>0</v>
      </c>
      <c r="T84" s="45">
        <f t="shared" si="7"/>
        <v>14.53</v>
      </c>
    </row>
    <row r="85" spans="1:20" s="30" customFormat="1" x14ac:dyDescent="0.25">
      <c r="A85" s="24" t="s">
        <v>24</v>
      </c>
      <c r="B85" s="40"/>
      <c r="C85" s="40"/>
      <c r="D85" s="24"/>
      <c r="E85" s="24"/>
      <c r="F85" s="40" t="e">
        <f t="shared" si="6"/>
        <v>#REF!</v>
      </c>
      <c r="G85" s="40" t="e">
        <f t="shared" si="6"/>
        <v>#REF!</v>
      </c>
      <c r="H85" s="41"/>
      <c r="K85" s="30" t="str">
        <f>"""GP"",""Ute Indian Tribe Membership Fund"",""aaa_contract_detail_sp"",""JRNENTRY"",""1617618"",""aaGLHdrID"",""1786375"",""aaGLDistID"",""25"",""aaGLAssignID"",""1"",""contract"",""3460 92 URHS FY2025"""</f>
        <v>"GP","Ute Indian Tribe Membership Fund","aaa_contract_detail_sp","JRNENTRY","1617618","aaGLHdrID","1786375","aaGLDistID","25","aaGLAssignID","1","contract","3460 92 URHS FY2025"</v>
      </c>
      <c r="L85" s="42">
        <v>45841</v>
      </c>
      <c r="M85" s="30">
        <v>1617618</v>
      </c>
      <c r="N85" s="30" t="str">
        <f>""</f>
        <v/>
      </c>
      <c r="O85" s="30" t="str">
        <f>""</f>
        <v/>
      </c>
      <c r="P85" s="30" t="str">
        <f>""</f>
        <v/>
      </c>
      <c r="Q85" s="43" t="str">
        <f>""</f>
        <v/>
      </c>
      <c r="R85" s="44">
        <v>27.05</v>
      </c>
      <c r="S85" s="44">
        <v>0</v>
      </c>
      <c r="T85" s="45">
        <f t="shared" si="7"/>
        <v>27.05</v>
      </c>
    </row>
    <row r="86" spans="1:20" s="30" customFormat="1" x14ac:dyDescent="0.25">
      <c r="A86" s="24" t="s">
        <v>24</v>
      </c>
      <c r="B86" s="40"/>
      <c r="C86" s="40"/>
      <c r="D86" s="24"/>
      <c r="E86" s="24"/>
      <c r="F86" s="40" t="e">
        <f t="shared" si="6"/>
        <v>#REF!</v>
      </c>
      <c r="G86" s="40" t="e">
        <f t="shared" si="6"/>
        <v>#REF!</v>
      </c>
      <c r="H86" s="41"/>
      <c r="K86" s="30" t="str">
        <f>"""GP"",""Ute Indian Tribe Membership Fund"",""aaa_contract_detail_sp"",""JRNENTRY"",""1617618"",""aaGLHdrID"",""1786375"",""aaGLDistID"",""26"",""aaGLAssignID"",""1"",""contract"",""3460 92 URHS FY2025"""</f>
        <v>"GP","Ute Indian Tribe Membership Fund","aaa_contract_detail_sp","JRNENTRY","1617618","aaGLHdrID","1786375","aaGLDistID","26","aaGLAssignID","1","contract","3460 92 URHS FY2025"</v>
      </c>
      <c r="L86" s="42">
        <v>45841</v>
      </c>
      <c r="M86" s="30">
        <v>1617618</v>
      </c>
      <c r="N86" s="30" t="str">
        <f>""</f>
        <v/>
      </c>
      <c r="O86" s="30" t="str">
        <f>""</f>
        <v/>
      </c>
      <c r="P86" s="30" t="str">
        <f>""</f>
        <v/>
      </c>
      <c r="Q86" s="43" t="str">
        <f>""</f>
        <v/>
      </c>
      <c r="R86" s="44">
        <v>58.04</v>
      </c>
      <c r="S86" s="44">
        <v>0</v>
      </c>
      <c r="T86" s="45">
        <f t="shared" si="7"/>
        <v>58.04</v>
      </c>
    </row>
    <row r="87" spans="1:20" s="30" customFormat="1" x14ac:dyDescent="0.25">
      <c r="A87" s="24" t="s">
        <v>24</v>
      </c>
      <c r="B87" s="40"/>
      <c r="C87" s="40"/>
      <c r="D87" s="24"/>
      <c r="E87" s="24"/>
      <c r="F87" s="40" t="e">
        <f t="shared" si="6"/>
        <v>#REF!</v>
      </c>
      <c r="G87" s="40" t="e">
        <f t="shared" si="6"/>
        <v>#REF!</v>
      </c>
      <c r="H87" s="41"/>
      <c r="K87" s="30" t="str">
        <f>"""GP"",""Ute Indian Tribe Membership Fund"",""aaa_contract_detail_sp"",""JRNENTRY"",""1617618"",""aaGLHdrID"",""1786375"",""aaGLDistID"",""27"",""aaGLAssignID"",""1"",""contract"",""3460 92 URHS FY2025"""</f>
        <v>"GP","Ute Indian Tribe Membership Fund","aaa_contract_detail_sp","JRNENTRY","1617618","aaGLHdrID","1786375","aaGLDistID","27","aaGLAssignID","1","contract","3460 92 URHS FY2025"</v>
      </c>
      <c r="L87" s="42">
        <v>45841</v>
      </c>
      <c r="M87" s="30">
        <v>1617618</v>
      </c>
      <c r="N87" s="30" t="str">
        <f>""</f>
        <v/>
      </c>
      <c r="O87" s="30" t="str">
        <f>""</f>
        <v/>
      </c>
      <c r="P87" s="30" t="str">
        <f>""</f>
        <v/>
      </c>
      <c r="Q87" s="43" t="str">
        <f>""</f>
        <v/>
      </c>
      <c r="R87" s="44">
        <v>26.77</v>
      </c>
      <c r="S87" s="44">
        <v>0</v>
      </c>
      <c r="T87" s="45">
        <f t="shared" si="7"/>
        <v>26.77</v>
      </c>
    </row>
    <row r="88" spans="1:20" s="30" customFormat="1" x14ac:dyDescent="0.25">
      <c r="A88" s="24" t="s">
        <v>24</v>
      </c>
      <c r="B88" s="40"/>
      <c r="C88" s="40"/>
      <c r="D88" s="24"/>
      <c r="E88" s="24"/>
      <c r="F88" s="40" t="e">
        <f t="shared" si="6"/>
        <v>#REF!</v>
      </c>
      <c r="G88" s="40" t="e">
        <f t="shared" si="6"/>
        <v>#REF!</v>
      </c>
      <c r="H88" s="41"/>
      <c r="K88" s="30" t="str">
        <f>"""GP"",""Ute Indian Tribe Membership Fund"",""aaa_contract_detail_sp"",""JRNENTRY"",""1617618"",""aaGLHdrID"",""1786375"",""aaGLDistID"",""28"",""aaGLAssignID"",""1"",""contract"",""3460 92 URHS FY2025"""</f>
        <v>"GP","Ute Indian Tribe Membership Fund","aaa_contract_detail_sp","JRNENTRY","1617618","aaGLHdrID","1786375","aaGLDistID","28","aaGLAssignID","1","contract","3460 92 URHS FY2025"</v>
      </c>
      <c r="L88" s="42">
        <v>45841</v>
      </c>
      <c r="M88" s="30">
        <v>1617618</v>
      </c>
      <c r="N88" s="30" t="str">
        <f>""</f>
        <v/>
      </c>
      <c r="O88" s="30" t="str">
        <f>""</f>
        <v/>
      </c>
      <c r="P88" s="30" t="str">
        <f>""</f>
        <v/>
      </c>
      <c r="Q88" s="43" t="str">
        <f>""</f>
        <v/>
      </c>
      <c r="R88" s="44">
        <v>28.49</v>
      </c>
      <c r="S88" s="44">
        <v>0</v>
      </c>
      <c r="T88" s="45">
        <f t="shared" si="7"/>
        <v>28.49</v>
      </c>
    </row>
    <row r="89" spans="1:20" s="30" customFormat="1" x14ac:dyDescent="0.25">
      <c r="A89" s="24" t="s">
        <v>24</v>
      </c>
      <c r="B89" s="40"/>
      <c r="C89" s="40"/>
      <c r="D89" s="24"/>
      <c r="E89" s="24"/>
      <c r="F89" s="40" t="e">
        <f t="shared" si="6"/>
        <v>#REF!</v>
      </c>
      <c r="G89" s="40" t="e">
        <f t="shared" si="6"/>
        <v>#REF!</v>
      </c>
      <c r="H89" s="41"/>
      <c r="K89" s="30" t="str">
        <f>"""GP"",""Ute Indian Tribe Membership Fund"",""aaa_contract_detail_sp"",""JRNENTRY"",""1617618"",""aaGLHdrID"",""1786375"",""aaGLDistID"",""29"",""aaGLAssignID"",""1"",""contract"",""3460 92 URHS FY2025"""</f>
        <v>"GP","Ute Indian Tribe Membership Fund","aaa_contract_detail_sp","JRNENTRY","1617618","aaGLHdrID","1786375","aaGLDistID","29","aaGLAssignID","1","contract","3460 92 URHS FY2025"</v>
      </c>
      <c r="L89" s="42">
        <v>45841</v>
      </c>
      <c r="M89" s="30">
        <v>1617618</v>
      </c>
      <c r="N89" s="30" t="str">
        <f>""</f>
        <v/>
      </c>
      <c r="O89" s="30" t="str">
        <f>""</f>
        <v/>
      </c>
      <c r="P89" s="30" t="str">
        <f>""</f>
        <v/>
      </c>
      <c r="Q89" s="43" t="str">
        <f>""</f>
        <v/>
      </c>
      <c r="R89" s="44">
        <v>24.79</v>
      </c>
      <c r="S89" s="44">
        <v>0</v>
      </c>
      <c r="T89" s="45">
        <f t="shared" si="7"/>
        <v>24.79</v>
      </c>
    </row>
    <row r="90" spans="1:20" s="30" customFormat="1" x14ac:dyDescent="0.25">
      <c r="A90" s="24" t="s">
        <v>24</v>
      </c>
      <c r="B90" s="40"/>
      <c r="C90" s="40"/>
      <c r="D90" s="24"/>
      <c r="E90" s="24"/>
      <c r="F90" s="40" t="e">
        <f t="shared" si="6"/>
        <v>#REF!</v>
      </c>
      <c r="G90" s="40" t="e">
        <f t="shared" si="6"/>
        <v>#REF!</v>
      </c>
      <c r="H90" s="41"/>
      <c r="K90" s="30" t="str">
        <f>"""GP"",""Ute Indian Tribe Membership Fund"",""aaa_contract_detail_sp"",""JRNENTRY"",""1617618"",""aaGLHdrID"",""1786375"",""aaGLDistID"",""30"",""aaGLAssignID"",""1"",""contract"",""3460 92 URHS FY2025"""</f>
        <v>"GP","Ute Indian Tribe Membership Fund","aaa_contract_detail_sp","JRNENTRY","1617618","aaGLHdrID","1786375","aaGLDistID","30","aaGLAssignID","1","contract","3460 92 URHS FY2025"</v>
      </c>
      <c r="L90" s="42">
        <v>45841</v>
      </c>
      <c r="M90" s="30">
        <v>1617618</v>
      </c>
      <c r="N90" s="30" t="str">
        <f>""</f>
        <v/>
      </c>
      <c r="O90" s="30" t="str">
        <f>""</f>
        <v/>
      </c>
      <c r="P90" s="30" t="str">
        <f>""</f>
        <v/>
      </c>
      <c r="Q90" s="43" t="str">
        <f>""</f>
        <v/>
      </c>
      <c r="R90" s="44">
        <v>20.71</v>
      </c>
      <c r="S90" s="44">
        <v>0</v>
      </c>
      <c r="T90" s="45">
        <f t="shared" si="7"/>
        <v>20.71</v>
      </c>
    </row>
    <row r="91" spans="1:20" s="30" customFormat="1" x14ac:dyDescent="0.25">
      <c r="A91" s="24" t="s">
        <v>24</v>
      </c>
      <c r="B91" s="40"/>
      <c r="C91" s="40"/>
      <c r="D91" s="24"/>
      <c r="E91" s="24"/>
      <c r="F91" s="40" t="e">
        <f t="shared" si="6"/>
        <v>#REF!</v>
      </c>
      <c r="G91" s="40" t="e">
        <f t="shared" si="6"/>
        <v>#REF!</v>
      </c>
      <c r="H91" s="41"/>
      <c r="K91" s="30" t="str">
        <f>"""GP"",""Ute Indian Tribe Membership Fund"",""aaa_contract_detail_sp"",""JRNENTRY"",""1617618"",""aaGLHdrID"",""1786375"",""aaGLDistID"",""668"",""aaGLAssignID"",""1"",""contract"",""3460 92 URHS FY2025"""</f>
        <v>"GP","Ute Indian Tribe Membership Fund","aaa_contract_detail_sp","JRNENTRY","1617618","aaGLHdrID","1786375","aaGLDistID","668","aaGLAssignID","1","contract","3460 92 URHS FY2025"</v>
      </c>
      <c r="L91" s="42">
        <v>45841</v>
      </c>
      <c r="M91" s="30">
        <v>1617618</v>
      </c>
      <c r="N91" s="30" t="str">
        <f>""</f>
        <v/>
      </c>
      <c r="O91" s="30" t="str">
        <f>""</f>
        <v/>
      </c>
      <c r="P91" s="30" t="str">
        <f>""</f>
        <v/>
      </c>
      <c r="Q91" s="43" t="str">
        <f>""</f>
        <v/>
      </c>
      <c r="R91" s="44">
        <v>39.92</v>
      </c>
      <c r="S91" s="44">
        <v>0</v>
      </c>
      <c r="T91" s="45">
        <f t="shared" si="7"/>
        <v>39.92</v>
      </c>
    </row>
    <row r="92" spans="1:20" s="30" customFormat="1" x14ac:dyDescent="0.25">
      <c r="A92" s="24" t="s">
        <v>24</v>
      </c>
      <c r="B92" s="40"/>
      <c r="C92" s="40"/>
      <c r="D92" s="24"/>
      <c r="E92" s="24"/>
      <c r="F92" s="40" t="e">
        <f t="shared" si="6"/>
        <v>#REF!</v>
      </c>
      <c r="G92" s="40" t="e">
        <f t="shared" si="6"/>
        <v>#REF!</v>
      </c>
      <c r="H92" s="41"/>
      <c r="K92" s="30" t="str">
        <f>"""GP"",""Ute Indian Tribe Membership Fund"",""aaa_contract_detail_sp"",""JRNENTRY"",""1617618"",""aaGLHdrID"",""1786375"",""aaGLDistID"",""669"",""aaGLAssignID"",""1"",""contract"",""3460 92 URHS FY2025"""</f>
        <v>"GP","Ute Indian Tribe Membership Fund","aaa_contract_detail_sp","JRNENTRY","1617618","aaGLHdrID","1786375","aaGLDistID","669","aaGLAssignID","1","contract","3460 92 URHS FY2025"</v>
      </c>
      <c r="L92" s="42">
        <v>45841</v>
      </c>
      <c r="M92" s="30">
        <v>1617618</v>
      </c>
      <c r="N92" s="30" t="str">
        <f>""</f>
        <v/>
      </c>
      <c r="O92" s="30" t="str">
        <f>""</f>
        <v/>
      </c>
      <c r="P92" s="30" t="str">
        <f>""</f>
        <v/>
      </c>
      <c r="Q92" s="43" t="str">
        <f>""</f>
        <v/>
      </c>
      <c r="R92" s="44">
        <v>28.47</v>
      </c>
      <c r="S92" s="44">
        <v>0</v>
      </c>
      <c r="T92" s="45">
        <f t="shared" si="7"/>
        <v>28.47</v>
      </c>
    </row>
    <row r="93" spans="1:20" s="30" customFormat="1" x14ac:dyDescent="0.25">
      <c r="A93" s="24" t="s">
        <v>24</v>
      </c>
      <c r="B93" s="40"/>
      <c r="C93" s="40"/>
      <c r="D93" s="24"/>
      <c r="E93" s="24"/>
      <c r="F93" s="40" t="e">
        <f t="shared" si="6"/>
        <v>#REF!</v>
      </c>
      <c r="G93" s="40" t="e">
        <f t="shared" si="6"/>
        <v>#REF!</v>
      </c>
      <c r="H93" s="41"/>
      <c r="K93" s="30" t="str">
        <f>"""GP"",""Ute Indian Tribe Membership Fund"",""aaa_contract_detail_sp"",""JRNENTRY"",""1617618"",""aaGLHdrID"",""1786375"",""aaGLDistID"",""670"",""aaGLAssignID"",""1"",""contract"",""3460 92 URHS FY2025"""</f>
        <v>"GP","Ute Indian Tribe Membership Fund","aaa_contract_detail_sp","JRNENTRY","1617618","aaGLHdrID","1786375","aaGLDistID","670","aaGLAssignID","1","contract","3460 92 URHS FY2025"</v>
      </c>
      <c r="L93" s="42">
        <v>45841</v>
      </c>
      <c r="M93" s="30">
        <v>1617618</v>
      </c>
      <c r="N93" s="30" t="str">
        <f>""</f>
        <v/>
      </c>
      <c r="O93" s="30" t="str">
        <f>""</f>
        <v/>
      </c>
      <c r="P93" s="30" t="str">
        <f>""</f>
        <v/>
      </c>
      <c r="Q93" s="43" t="str">
        <f>""</f>
        <v/>
      </c>
      <c r="R93" s="44">
        <v>63.6</v>
      </c>
      <c r="S93" s="44">
        <v>0</v>
      </c>
      <c r="T93" s="45">
        <f t="shared" si="7"/>
        <v>63.6</v>
      </c>
    </row>
    <row r="94" spans="1:20" s="30" customFormat="1" x14ac:dyDescent="0.25">
      <c r="A94" s="24" t="s">
        <v>24</v>
      </c>
      <c r="B94" s="40"/>
      <c r="C94" s="40"/>
      <c r="D94" s="24"/>
      <c r="E94" s="24"/>
      <c r="F94" s="40" t="e">
        <f t="shared" si="6"/>
        <v>#REF!</v>
      </c>
      <c r="G94" s="40" t="e">
        <f t="shared" si="6"/>
        <v>#REF!</v>
      </c>
      <c r="H94" s="41"/>
      <c r="K94" s="30" t="str">
        <f>"""GP"",""Ute Indian Tribe Membership Fund"",""aaa_contract_detail_sp"",""JRNENTRY"",""1617618"",""aaGLHdrID"",""1786375"",""aaGLDistID"",""671"",""aaGLAssignID"",""1"",""contract"",""3460 92 URHS FY2025"""</f>
        <v>"GP","Ute Indian Tribe Membership Fund","aaa_contract_detail_sp","JRNENTRY","1617618","aaGLHdrID","1786375","aaGLDistID","671","aaGLAssignID","1","contract","3460 92 URHS FY2025"</v>
      </c>
      <c r="L94" s="42">
        <v>45841</v>
      </c>
      <c r="M94" s="30">
        <v>1617618</v>
      </c>
      <c r="N94" s="30" t="str">
        <f>""</f>
        <v/>
      </c>
      <c r="O94" s="30" t="str">
        <f>""</f>
        <v/>
      </c>
      <c r="P94" s="30" t="str">
        <f>""</f>
        <v/>
      </c>
      <c r="Q94" s="43" t="str">
        <f>""</f>
        <v/>
      </c>
      <c r="R94" s="44">
        <v>27.55</v>
      </c>
      <c r="S94" s="44">
        <v>0</v>
      </c>
      <c r="T94" s="45">
        <f t="shared" si="7"/>
        <v>27.55</v>
      </c>
    </row>
    <row r="95" spans="1:20" s="30" customFormat="1" x14ac:dyDescent="0.25">
      <c r="A95" s="24" t="s">
        <v>24</v>
      </c>
      <c r="B95" s="40"/>
      <c r="C95" s="40"/>
      <c r="D95" s="24"/>
      <c r="E95" s="24"/>
      <c r="F95" s="40" t="e">
        <f t="shared" si="6"/>
        <v>#REF!</v>
      </c>
      <c r="G95" s="40" t="e">
        <f t="shared" si="6"/>
        <v>#REF!</v>
      </c>
      <c r="H95" s="41"/>
      <c r="K95" s="30" t="str">
        <f>"""GP"",""Ute Indian Tribe Membership Fund"",""aaa_contract_detail_sp"",""JRNENTRY"",""1617618"",""aaGLHdrID"",""1786375"",""aaGLDistID"",""672"",""aaGLAssignID"",""1"",""contract"",""3460 92 URHS FY2025"""</f>
        <v>"GP","Ute Indian Tribe Membership Fund","aaa_contract_detail_sp","JRNENTRY","1617618","aaGLHdrID","1786375","aaGLDistID","672","aaGLAssignID","1","contract","3460 92 URHS FY2025"</v>
      </c>
      <c r="L95" s="42">
        <v>45841</v>
      </c>
      <c r="M95" s="30">
        <v>1617618</v>
      </c>
      <c r="N95" s="30" t="str">
        <f>""</f>
        <v/>
      </c>
      <c r="O95" s="30" t="str">
        <f>""</f>
        <v/>
      </c>
      <c r="P95" s="30" t="str">
        <f>""</f>
        <v/>
      </c>
      <c r="Q95" s="43" t="str">
        <f>""</f>
        <v/>
      </c>
      <c r="R95" s="44">
        <v>29.66</v>
      </c>
      <c r="S95" s="44">
        <v>0</v>
      </c>
      <c r="T95" s="45">
        <f t="shared" si="7"/>
        <v>29.66</v>
      </c>
    </row>
    <row r="96" spans="1:20" s="30" customFormat="1" x14ac:dyDescent="0.25">
      <c r="A96" s="24" t="s">
        <v>24</v>
      </c>
      <c r="B96" s="40"/>
      <c r="C96" s="40"/>
      <c r="D96" s="24"/>
      <c r="E96" s="24"/>
      <c r="F96" s="40" t="e">
        <f t="shared" si="6"/>
        <v>#REF!</v>
      </c>
      <c r="G96" s="40" t="e">
        <f t="shared" si="6"/>
        <v>#REF!</v>
      </c>
      <c r="H96" s="41"/>
      <c r="K96" s="30" t="str">
        <f>"""GP"",""Ute Indian Tribe Membership Fund"",""aaa_contract_detail_sp"",""JRNENTRY"",""1617618"",""aaGLHdrID"",""1786375"",""aaGLDistID"",""673"",""aaGLAssignID"",""1"",""contract"",""3460 92 URHS FY2025"""</f>
        <v>"GP","Ute Indian Tribe Membership Fund","aaa_contract_detail_sp","JRNENTRY","1617618","aaGLHdrID","1786375","aaGLDistID","673","aaGLAssignID","1","contract","3460 92 URHS FY2025"</v>
      </c>
      <c r="L96" s="42">
        <v>45841</v>
      </c>
      <c r="M96" s="30">
        <v>1617618</v>
      </c>
      <c r="N96" s="30" t="str">
        <f>""</f>
        <v/>
      </c>
      <c r="O96" s="30" t="str">
        <f>""</f>
        <v/>
      </c>
      <c r="P96" s="30" t="str">
        <f>""</f>
        <v/>
      </c>
      <c r="Q96" s="43" t="str">
        <f>""</f>
        <v/>
      </c>
      <c r="R96" s="44">
        <v>26.09</v>
      </c>
      <c r="S96" s="44">
        <v>0</v>
      </c>
      <c r="T96" s="45">
        <f t="shared" si="7"/>
        <v>26.09</v>
      </c>
    </row>
    <row r="97" spans="1:20" s="30" customFormat="1" x14ac:dyDescent="0.25">
      <c r="A97" s="24" t="s">
        <v>24</v>
      </c>
      <c r="B97" s="40"/>
      <c r="C97" s="40"/>
      <c r="D97" s="24"/>
      <c r="E97" s="24"/>
      <c r="F97" s="40" t="e">
        <f t="shared" si="6"/>
        <v>#REF!</v>
      </c>
      <c r="G97" s="40" t="e">
        <f t="shared" si="6"/>
        <v>#REF!</v>
      </c>
      <c r="H97" s="41"/>
      <c r="K97" s="30" t="str">
        <f>"""GP"",""Ute Indian Tribe Membership Fund"",""aaa_contract_detail_sp"",""JRNENTRY"",""1617618"",""aaGLHdrID"",""1786375"",""aaGLDistID"",""674"",""aaGLAssignID"",""1"",""contract"",""3460 92 URHS FY2025"""</f>
        <v>"GP","Ute Indian Tribe Membership Fund","aaa_contract_detail_sp","JRNENTRY","1617618","aaGLHdrID","1786375","aaGLDistID","674","aaGLAssignID","1","contract","3460 92 URHS FY2025"</v>
      </c>
      <c r="L97" s="42">
        <v>45841</v>
      </c>
      <c r="M97" s="30">
        <v>1617618</v>
      </c>
      <c r="N97" s="30" t="str">
        <f>""</f>
        <v/>
      </c>
      <c r="O97" s="30" t="str">
        <f>""</f>
        <v/>
      </c>
      <c r="P97" s="30" t="str">
        <f>""</f>
        <v/>
      </c>
      <c r="Q97" s="43" t="str">
        <f>""</f>
        <v/>
      </c>
      <c r="R97" s="44">
        <v>23.87</v>
      </c>
      <c r="S97" s="44">
        <v>0</v>
      </c>
      <c r="T97" s="45">
        <f t="shared" si="7"/>
        <v>23.87</v>
      </c>
    </row>
    <row r="98" spans="1:20" s="30" customFormat="1" x14ac:dyDescent="0.25">
      <c r="A98" s="24" t="s">
        <v>24</v>
      </c>
      <c r="B98" s="40"/>
      <c r="C98" s="40"/>
      <c r="D98" s="24"/>
      <c r="E98" s="24"/>
      <c r="F98" s="40" t="e">
        <f t="shared" si="6"/>
        <v>#REF!</v>
      </c>
      <c r="G98" s="40" t="e">
        <f t="shared" si="6"/>
        <v>#REF!</v>
      </c>
      <c r="H98" s="41"/>
      <c r="K98" s="30" t="str">
        <f>"""GP"",""Ute Indian Tribe Membership Fund"",""aaa_contract_detail_sp"",""JRNENTRY"",""1614772"",""aaGLHdrID"",""1782645"",""aaGLDistID"",""16"",""aaGLAssignID"",""1"",""contract"",""3460 92 URHS FY2025"""</f>
        <v>"GP","Ute Indian Tribe Membership Fund","aaa_contract_detail_sp","JRNENTRY","1614772","aaGLHdrID","1782645","aaGLDistID","16","aaGLAssignID","1","contract","3460 92 URHS FY2025"</v>
      </c>
      <c r="L98" s="42">
        <v>45855</v>
      </c>
      <c r="M98" s="30">
        <v>1614772</v>
      </c>
      <c r="N98" s="30" t="str">
        <f>""</f>
        <v/>
      </c>
      <c r="O98" s="30" t="str">
        <f>""</f>
        <v/>
      </c>
      <c r="P98" s="30" t="str">
        <f>""</f>
        <v/>
      </c>
      <c r="Q98" s="43" t="str">
        <f>""</f>
        <v/>
      </c>
      <c r="R98" s="44">
        <v>144.63999999999999</v>
      </c>
      <c r="S98" s="44">
        <v>0</v>
      </c>
      <c r="T98" s="45">
        <f t="shared" si="7"/>
        <v>144.63999999999999</v>
      </c>
    </row>
    <row r="99" spans="1:20" s="30" customFormat="1" x14ac:dyDescent="0.25">
      <c r="A99" s="24" t="s">
        <v>24</v>
      </c>
      <c r="B99" s="40"/>
      <c r="C99" s="40"/>
      <c r="D99" s="24"/>
      <c r="E99" s="24"/>
      <c r="F99" s="40" t="e">
        <f t="shared" si="6"/>
        <v>#REF!</v>
      </c>
      <c r="G99" s="40" t="e">
        <f t="shared" si="6"/>
        <v>#REF!</v>
      </c>
      <c r="H99" s="41"/>
      <c r="K99" s="30" t="str">
        <f>"""GP"",""Ute Indian Tribe Membership Fund"",""aaa_contract_detail_sp"",""JRNENTRY"",""1614772"",""aaGLHdrID"",""1782645"",""aaGLDistID"",""17"",""aaGLAssignID"",""1"",""contract"",""3460 92 URHS FY2025"""</f>
        <v>"GP","Ute Indian Tribe Membership Fund","aaa_contract_detail_sp","JRNENTRY","1614772","aaGLHdrID","1782645","aaGLDistID","17","aaGLAssignID","1","contract","3460 92 URHS FY2025"</v>
      </c>
      <c r="L99" s="42">
        <v>45855</v>
      </c>
      <c r="M99" s="30">
        <v>1614772</v>
      </c>
      <c r="N99" s="30" t="str">
        <f>""</f>
        <v/>
      </c>
      <c r="O99" s="30" t="str">
        <f>""</f>
        <v/>
      </c>
      <c r="P99" s="30" t="str">
        <f>""</f>
        <v/>
      </c>
      <c r="Q99" s="43" t="str">
        <f>""</f>
        <v/>
      </c>
      <c r="R99" s="44">
        <v>33.83</v>
      </c>
      <c r="S99" s="44">
        <v>0</v>
      </c>
      <c r="T99" s="45">
        <f t="shared" si="7"/>
        <v>33.83</v>
      </c>
    </row>
    <row r="100" spans="1:20" s="30" customFormat="1" x14ac:dyDescent="0.25">
      <c r="A100" s="24" t="s">
        <v>24</v>
      </c>
      <c r="B100" s="40"/>
      <c r="C100" s="40"/>
      <c r="D100" s="24"/>
      <c r="E100" s="24"/>
      <c r="F100" s="40" t="e">
        <f t="shared" si="6"/>
        <v>#REF!</v>
      </c>
      <c r="G100" s="40" t="e">
        <f t="shared" si="6"/>
        <v>#REF!</v>
      </c>
      <c r="H100" s="41"/>
      <c r="K100" s="30" t="str">
        <f>"""GP"",""Ute Indian Tribe Membership Fund"",""aaa_contract_detail_sp"",""JRNENTRY"",""1614838"",""aaGLHdrID"",""1782711"",""aaGLDistID"",""17"",""aaGLAssignID"",""1"",""contract"",""3460 92 URHS FY2025"""</f>
        <v>"GP","Ute Indian Tribe Membership Fund","aaa_contract_detail_sp","JRNENTRY","1614838","aaGLHdrID","1782711","aaGLDistID","17","aaGLAssignID","1","contract","3460 92 URHS FY2025"</v>
      </c>
      <c r="L100" s="42">
        <v>45855</v>
      </c>
      <c r="M100" s="30">
        <v>1614838</v>
      </c>
      <c r="N100" s="30" t="str">
        <f>""</f>
        <v/>
      </c>
      <c r="O100" s="30" t="str">
        <f>""</f>
        <v/>
      </c>
      <c r="P100" s="30" t="str">
        <f>""</f>
        <v/>
      </c>
      <c r="Q100" s="43" t="str">
        <f>""</f>
        <v/>
      </c>
      <c r="R100" s="44">
        <v>178.2</v>
      </c>
      <c r="S100" s="44">
        <v>0</v>
      </c>
      <c r="T100" s="45">
        <f t="shared" si="7"/>
        <v>178.2</v>
      </c>
    </row>
    <row r="101" spans="1:20" s="30" customFormat="1" x14ac:dyDescent="0.25">
      <c r="A101" s="24" t="s">
        <v>24</v>
      </c>
      <c r="B101" s="40"/>
      <c r="C101" s="40"/>
      <c r="D101" s="24"/>
      <c r="E101" s="24"/>
      <c r="F101" s="40" t="e">
        <f t="shared" si="6"/>
        <v>#REF!</v>
      </c>
      <c r="G101" s="40" t="e">
        <f t="shared" si="6"/>
        <v>#REF!</v>
      </c>
      <c r="H101" s="41"/>
      <c r="K101" s="30" t="str">
        <f>"""GP"",""Ute Indian Tribe Membership Fund"",""aaa_contract_detail_sp"",""JRNENTRY"",""1614838"",""aaGLHdrID"",""1782711"",""aaGLDistID"",""18"",""aaGLAssignID"",""1"",""contract"",""3460 92 URHS FY2025"""</f>
        <v>"GP","Ute Indian Tribe Membership Fund","aaa_contract_detail_sp","JRNENTRY","1614838","aaGLHdrID","1782711","aaGLDistID","18","aaGLAssignID","1","contract","3460 92 URHS FY2025"</v>
      </c>
      <c r="L101" s="42">
        <v>45855</v>
      </c>
      <c r="M101" s="30">
        <v>1614838</v>
      </c>
      <c r="N101" s="30" t="str">
        <f>""</f>
        <v/>
      </c>
      <c r="O101" s="30" t="str">
        <f>""</f>
        <v/>
      </c>
      <c r="P101" s="30" t="str">
        <f>""</f>
        <v/>
      </c>
      <c r="Q101" s="43" t="str">
        <f>""</f>
        <v/>
      </c>
      <c r="R101" s="44">
        <v>41.67</v>
      </c>
      <c r="S101" s="44">
        <v>0</v>
      </c>
      <c r="T101" s="45">
        <f t="shared" si="7"/>
        <v>41.67</v>
      </c>
    </row>
    <row r="102" spans="1:20" s="30" customFormat="1" x14ac:dyDescent="0.25">
      <c r="A102" s="24" t="s">
        <v>24</v>
      </c>
      <c r="B102" s="40"/>
      <c r="C102" s="40"/>
      <c r="D102" s="24"/>
      <c r="E102" s="24"/>
      <c r="F102" s="40" t="e">
        <f t="shared" si="6"/>
        <v>#REF!</v>
      </c>
      <c r="G102" s="40" t="e">
        <f t="shared" si="6"/>
        <v>#REF!</v>
      </c>
      <c r="H102" s="41"/>
      <c r="K102" s="30" t="str">
        <f>"""GP"",""Ute Indian Tribe Membership Fund"",""aaa_contract_detail_sp"",""JRNENTRY"",""1614921"",""aaGLHdrID"",""1782794"",""aaGLDistID"",""17"",""aaGLAssignID"",""1"",""contract"",""3460 92 URHS FY2025"""</f>
        <v>"GP","Ute Indian Tribe Membership Fund","aaa_contract_detail_sp","JRNENTRY","1614921","aaGLHdrID","1782794","aaGLDistID","17","aaGLAssignID","1","contract","3460 92 URHS FY2025"</v>
      </c>
      <c r="L102" s="42">
        <v>45855</v>
      </c>
      <c r="M102" s="30">
        <v>1614921</v>
      </c>
      <c r="N102" s="30" t="str">
        <f>""</f>
        <v/>
      </c>
      <c r="O102" s="30" t="str">
        <f>""</f>
        <v/>
      </c>
      <c r="P102" s="30" t="str">
        <f>""</f>
        <v/>
      </c>
      <c r="Q102" s="43" t="str">
        <f>""</f>
        <v/>
      </c>
      <c r="R102" s="44">
        <v>222.26</v>
      </c>
      <c r="S102" s="44">
        <v>0</v>
      </c>
      <c r="T102" s="45">
        <f t="shared" si="7"/>
        <v>222.26</v>
      </c>
    </row>
    <row r="103" spans="1:20" s="30" customFormat="1" x14ac:dyDescent="0.25">
      <c r="A103" s="24" t="s">
        <v>24</v>
      </c>
      <c r="B103" s="40"/>
      <c r="C103" s="40"/>
      <c r="D103" s="24"/>
      <c r="E103" s="24"/>
      <c r="F103" s="40" t="e">
        <f t="shared" si="6"/>
        <v>#REF!</v>
      </c>
      <c r="G103" s="40" t="e">
        <f t="shared" si="6"/>
        <v>#REF!</v>
      </c>
      <c r="H103" s="41"/>
      <c r="K103" s="30" t="str">
        <f>"""GP"",""Ute Indian Tribe Membership Fund"",""aaa_contract_detail_sp"",""JRNENTRY"",""1614921"",""aaGLHdrID"",""1782794"",""aaGLDistID"",""18"",""aaGLAssignID"",""1"",""contract"",""3460 92 URHS FY2025"""</f>
        <v>"GP","Ute Indian Tribe Membership Fund","aaa_contract_detail_sp","JRNENTRY","1614921","aaGLHdrID","1782794","aaGLDistID","18","aaGLAssignID","1","contract","3460 92 URHS FY2025"</v>
      </c>
      <c r="L103" s="42">
        <v>45855</v>
      </c>
      <c r="M103" s="30">
        <v>1614921</v>
      </c>
      <c r="N103" s="30" t="str">
        <f>""</f>
        <v/>
      </c>
      <c r="O103" s="30" t="str">
        <f>""</f>
        <v/>
      </c>
      <c r="P103" s="30" t="str">
        <f>""</f>
        <v/>
      </c>
      <c r="Q103" s="43" t="str">
        <f>""</f>
        <v/>
      </c>
      <c r="R103" s="44">
        <v>51.98</v>
      </c>
      <c r="S103" s="44">
        <v>0</v>
      </c>
      <c r="T103" s="45">
        <f t="shared" si="7"/>
        <v>51.98</v>
      </c>
    </row>
    <row r="104" spans="1:20" s="30" customFormat="1" x14ac:dyDescent="0.25">
      <c r="A104" s="24" t="s">
        <v>24</v>
      </c>
      <c r="B104" s="40"/>
      <c r="C104" s="40"/>
      <c r="D104" s="24"/>
      <c r="E104" s="24"/>
      <c r="F104" s="40" t="e">
        <f t="shared" si="6"/>
        <v>#REF!</v>
      </c>
      <c r="G104" s="40" t="e">
        <f t="shared" si="6"/>
        <v>#REF!</v>
      </c>
      <c r="H104" s="41"/>
      <c r="K104" s="30" t="str">
        <f>"""GP"",""Ute Indian Tribe Membership Fund"",""aaa_contract_detail_sp"",""JRNENTRY"",""1614925"",""aaGLHdrID"",""1782798"",""aaGLDistID"",""18"",""aaGLAssignID"",""1"",""contract"",""3460 92 URHS FY2025"""</f>
        <v>"GP","Ute Indian Tribe Membership Fund","aaa_contract_detail_sp","JRNENTRY","1614925","aaGLHdrID","1782798","aaGLDistID","18","aaGLAssignID","1","contract","3460 92 URHS FY2025"</v>
      </c>
      <c r="L104" s="42">
        <v>45855</v>
      </c>
      <c r="M104" s="30">
        <v>1614925</v>
      </c>
      <c r="N104" s="30" t="str">
        <f>""</f>
        <v/>
      </c>
      <c r="O104" s="30" t="str">
        <f>""</f>
        <v/>
      </c>
      <c r="P104" s="30" t="str">
        <f>""</f>
        <v/>
      </c>
      <c r="Q104" s="43" t="str">
        <f>""</f>
        <v/>
      </c>
      <c r="R104" s="44">
        <v>294.27999999999997</v>
      </c>
      <c r="S104" s="44">
        <v>0</v>
      </c>
      <c r="T104" s="45">
        <f t="shared" si="7"/>
        <v>294.27999999999997</v>
      </c>
    </row>
    <row r="105" spans="1:20" s="30" customFormat="1" x14ac:dyDescent="0.25">
      <c r="A105" s="24" t="s">
        <v>24</v>
      </c>
      <c r="B105" s="40"/>
      <c r="C105" s="40"/>
      <c r="D105" s="24"/>
      <c r="E105" s="24"/>
      <c r="F105" s="40" t="e">
        <f t="shared" si="6"/>
        <v>#REF!</v>
      </c>
      <c r="G105" s="40" t="e">
        <f t="shared" si="6"/>
        <v>#REF!</v>
      </c>
      <c r="H105" s="41"/>
      <c r="K105" s="30" t="str">
        <f>"""GP"",""Ute Indian Tribe Membership Fund"",""aaa_contract_detail_sp"",""JRNENTRY"",""1614925"",""aaGLHdrID"",""1782798"",""aaGLDistID"",""19"",""aaGLAssignID"",""1"",""contract"",""3460 92 URHS FY2025"""</f>
        <v>"GP","Ute Indian Tribe Membership Fund","aaa_contract_detail_sp","JRNENTRY","1614925","aaGLHdrID","1782798","aaGLDistID","19","aaGLAssignID","1","contract","3460 92 URHS FY2025"</v>
      </c>
      <c r="L105" s="42">
        <v>45855</v>
      </c>
      <c r="M105" s="30">
        <v>1614925</v>
      </c>
      <c r="N105" s="30" t="str">
        <f>""</f>
        <v/>
      </c>
      <c r="O105" s="30" t="str">
        <f>""</f>
        <v/>
      </c>
      <c r="P105" s="30" t="str">
        <f>""</f>
        <v/>
      </c>
      <c r="Q105" s="43" t="str">
        <f>""</f>
        <v/>
      </c>
      <c r="R105" s="44">
        <v>68.83</v>
      </c>
      <c r="S105" s="44">
        <v>0</v>
      </c>
      <c r="T105" s="45">
        <f t="shared" si="7"/>
        <v>68.83</v>
      </c>
    </row>
    <row r="106" spans="1:20" s="30" customFormat="1" x14ac:dyDescent="0.25">
      <c r="A106" s="24" t="s">
        <v>24</v>
      </c>
      <c r="B106" s="40"/>
      <c r="C106" s="40"/>
      <c r="D106" s="24"/>
      <c r="E106" s="24"/>
      <c r="F106" s="40" t="e">
        <f t="shared" si="6"/>
        <v>#REF!</v>
      </c>
      <c r="G106" s="40" t="e">
        <f t="shared" si="6"/>
        <v>#REF!</v>
      </c>
      <c r="H106" s="41"/>
      <c r="K106" s="30" t="str">
        <f>"""GP"",""Ute Indian Tribe Membership Fund"",""aaa_contract_detail_sp"",""JRNENTRY"",""1614973"",""aaGLHdrID"",""1782846"",""aaGLDistID"",""8"",""aaGLAssignID"",""1"",""contract"",""3460 92 URHS FY2025"""</f>
        <v>"GP","Ute Indian Tribe Membership Fund","aaa_contract_detail_sp","JRNENTRY","1614973","aaGLHdrID","1782846","aaGLDistID","8","aaGLAssignID","1","contract","3460 92 URHS FY2025"</v>
      </c>
      <c r="L106" s="42">
        <v>45855</v>
      </c>
      <c r="M106" s="30">
        <v>1614973</v>
      </c>
      <c r="N106" s="30" t="str">
        <f>""</f>
        <v/>
      </c>
      <c r="O106" s="30" t="str">
        <f>""</f>
        <v/>
      </c>
      <c r="P106" s="30" t="str">
        <f>""</f>
        <v/>
      </c>
      <c r="Q106" s="43" t="str">
        <f>""</f>
        <v/>
      </c>
      <c r="R106" s="44">
        <v>21.35</v>
      </c>
      <c r="S106" s="44">
        <v>0</v>
      </c>
      <c r="T106" s="45">
        <f t="shared" si="7"/>
        <v>21.35</v>
      </c>
    </row>
    <row r="107" spans="1:20" s="30" customFormat="1" x14ac:dyDescent="0.25">
      <c r="A107" s="24" t="s">
        <v>24</v>
      </c>
      <c r="B107" s="40"/>
      <c r="C107" s="40"/>
      <c r="D107" s="24"/>
      <c r="E107" s="24"/>
      <c r="F107" s="40" t="e">
        <f t="shared" si="6"/>
        <v>#REF!</v>
      </c>
      <c r="G107" s="40" t="e">
        <f t="shared" si="6"/>
        <v>#REF!</v>
      </c>
      <c r="H107" s="41"/>
      <c r="K107" s="30" t="str">
        <f>"""GP"",""Ute Indian Tribe Membership Fund"",""aaa_contract_detail_sp"",""JRNENTRY"",""1614973"",""aaGLHdrID"",""1782846"",""aaGLDistID"",""9"",""aaGLAssignID"",""1"",""contract"",""3460 92 URHS FY2025"""</f>
        <v>"GP","Ute Indian Tribe Membership Fund","aaa_contract_detail_sp","JRNENTRY","1614973","aaGLHdrID","1782846","aaGLDistID","9","aaGLAssignID","1","contract","3460 92 URHS FY2025"</v>
      </c>
      <c r="L107" s="42">
        <v>45855</v>
      </c>
      <c r="M107" s="30">
        <v>1614973</v>
      </c>
      <c r="N107" s="30" t="str">
        <f>""</f>
        <v/>
      </c>
      <c r="O107" s="30" t="str">
        <f>""</f>
        <v/>
      </c>
      <c r="P107" s="30" t="str">
        <f>""</f>
        <v/>
      </c>
      <c r="Q107" s="43" t="str">
        <f>""</f>
        <v/>
      </c>
      <c r="R107" s="44">
        <v>4.99</v>
      </c>
      <c r="S107" s="44">
        <v>0</v>
      </c>
      <c r="T107" s="45">
        <f t="shared" si="7"/>
        <v>4.99</v>
      </c>
    </row>
    <row r="108" spans="1:20" s="30" customFormat="1" x14ac:dyDescent="0.25">
      <c r="A108" s="24" t="s">
        <v>24</v>
      </c>
      <c r="B108" s="40"/>
      <c r="C108" s="40"/>
      <c r="D108" s="24"/>
      <c r="E108" s="24"/>
      <c r="F108" s="40" t="e">
        <f t="shared" si="6"/>
        <v>#REF!</v>
      </c>
      <c r="G108" s="40" t="e">
        <f t="shared" si="6"/>
        <v>#REF!</v>
      </c>
      <c r="H108" s="41"/>
      <c r="K108" s="30" t="str">
        <f>"""GP"",""Ute Indian Tribe Membership Fund"",""aaa_contract_detail_sp"",""JRNENTRY"",""1614974"",""aaGLHdrID"",""1782847"",""aaGLDistID"",""7"",""aaGLAssignID"",""1"",""contract"",""3460 92 URHS FY2025"""</f>
        <v>"GP","Ute Indian Tribe Membership Fund","aaa_contract_detail_sp","JRNENTRY","1614974","aaGLHdrID","1782847","aaGLDistID","7","aaGLAssignID","1","contract","3460 92 URHS FY2025"</v>
      </c>
      <c r="L108" s="42">
        <v>45855</v>
      </c>
      <c r="M108" s="30">
        <v>1614974</v>
      </c>
      <c r="N108" s="30" t="str">
        <f>""</f>
        <v/>
      </c>
      <c r="O108" s="30" t="str">
        <f>""</f>
        <v/>
      </c>
      <c r="P108" s="30" t="str">
        <f>""</f>
        <v/>
      </c>
      <c r="Q108" s="43" t="str">
        <f>""</f>
        <v/>
      </c>
      <c r="R108" s="44">
        <v>22.07</v>
      </c>
      <c r="S108" s="44">
        <v>0</v>
      </c>
      <c r="T108" s="45">
        <f t="shared" si="7"/>
        <v>22.07</v>
      </c>
    </row>
    <row r="109" spans="1:20" s="30" customFormat="1" x14ac:dyDescent="0.25">
      <c r="A109" s="24" t="s">
        <v>24</v>
      </c>
      <c r="B109" s="40"/>
      <c r="C109" s="40"/>
      <c r="D109" s="24"/>
      <c r="E109" s="24"/>
      <c r="F109" s="40" t="e">
        <f t="shared" si="6"/>
        <v>#REF!</v>
      </c>
      <c r="G109" s="40" t="e">
        <f t="shared" si="6"/>
        <v>#REF!</v>
      </c>
      <c r="H109" s="41"/>
      <c r="K109" s="30" t="str">
        <f>"""GP"",""Ute Indian Tribe Membership Fund"",""aaa_contract_detail_sp"",""JRNENTRY"",""1614974"",""aaGLHdrID"",""1782847"",""aaGLDistID"",""8"",""aaGLAssignID"",""1"",""contract"",""3460 92 URHS FY2025"""</f>
        <v>"GP","Ute Indian Tribe Membership Fund","aaa_contract_detail_sp","JRNENTRY","1614974","aaGLHdrID","1782847","aaGLDistID","8","aaGLAssignID","1","contract","3460 92 URHS FY2025"</v>
      </c>
      <c r="L109" s="42">
        <v>45855</v>
      </c>
      <c r="M109" s="30">
        <v>1614974</v>
      </c>
      <c r="N109" s="30" t="str">
        <f>""</f>
        <v/>
      </c>
      <c r="O109" s="30" t="str">
        <f>""</f>
        <v/>
      </c>
      <c r="P109" s="30" t="str">
        <f>""</f>
        <v/>
      </c>
      <c r="Q109" s="43" t="str">
        <f>""</f>
        <v/>
      </c>
      <c r="R109" s="44">
        <v>5.16</v>
      </c>
      <c r="S109" s="44">
        <v>0</v>
      </c>
      <c r="T109" s="45">
        <f t="shared" si="7"/>
        <v>5.16</v>
      </c>
    </row>
    <row r="110" spans="1:20" s="30" customFormat="1" x14ac:dyDescent="0.25">
      <c r="A110" s="24" t="s">
        <v>24</v>
      </c>
      <c r="B110" s="40"/>
      <c r="C110" s="40"/>
      <c r="D110" s="24"/>
      <c r="E110" s="24"/>
      <c r="F110" s="40" t="e">
        <f t="shared" si="6"/>
        <v>#REF!</v>
      </c>
      <c r="G110" s="40" t="e">
        <f t="shared" si="6"/>
        <v>#REF!</v>
      </c>
      <c r="H110" s="41"/>
      <c r="K110" s="30" t="str">
        <f>"""GP"",""Ute Indian Tribe Membership Fund"",""aaa_contract_detail_sp"",""JRNENTRY"",""1615066"",""aaGLHdrID"",""1782939"",""aaGLDistID"",""16"",""aaGLAssignID"",""1"",""contract"",""3460 92 URHS FY2025"""</f>
        <v>"GP","Ute Indian Tribe Membership Fund","aaa_contract_detail_sp","JRNENTRY","1615066","aaGLHdrID","1782939","aaGLDistID","16","aaGLAssignID","1","contract","3460 92 URHS FY2025"</v>
      </c>
      <c r="L110" s="42">
        <v>45855</v>
      </c>
      <c r="M110" s="30">
        <v>1615066</v>
      </c>
      <c r="N110" s="30" t="str">
        <f>""</f>
        <v/>
      </c>
      <c r="O110" s="30" t="str">
        <f>""</f>
        <v/>
      </c>
      <c r="P110" s="30" t="str">
        <f>""</f>
        <v/>
      </c>
      <c r="Q110" s="43" t="str">
        <f>""</f>
        <v/>
      </c>
      <c r="R110" s="44">
        <v>39.840000000000003</v>
      </c>
      <c r="S110" s="44">
        <v>0</v>
      </c>
      <c r="T110" s="45">
        <f t="shared" si="7"/>
        <v>39.840000000000003</v>
      </c>
    </row>
    <row r="111" spans="1:20" s="30" customFormat="1" x14ac:dyDescent="0.25">
      <c r="A111" s="24" t="s">
        <v>24</v>
      </c>
      <c r="B111" s="40"/>
      <c r="C111" s="40"/>
      <c r="D111" s="24"/>
      <c r="E111" s="24"/>
      <c r="F111" s="40" t="e">
        <f t="shared" si="6"/>
        <v>#REF!</v>
      </c>
      <c r="G111" s="40" t="e">
        <f t="shared" si="6"/>
        <v>#REF!</v>
      </c>
      <c r="H111" s="41"/>
      <c r="K111" s="30" t="str">
        <f>"""GP"",""Ute Indian Tribe Membership Fund"",""aaa_contract_detail_sp"",""JRNENTRY"",""1615066"",""aaGLHdrID"",""1782939"",""aaGLDistID"",""17"",""aaGLAssignID"",""1"",""contract"",""3460 92 URHS FY2025"""</f>
        <v>"GP","Ute Indian Tribe Membership Fund","aaa_contract_detail_sp","JRNENTRY","1615066","aaGLHdrID","1782939","aaGLDistID","17","aaGLAssignID","1","contract","3460 92 URHS FY2025"</v>
      </c>
      <c r="L111" s="42">
        <v>45855</v>
      </c>
      <c r="M111" s="30">
        <v>1615066</v>
      </c>
      <c r="N111" s="30" t="str">
        <f>""</f>
        <v/>
      </c>
      <c r="O111" s="30" t="str">
        <f>""</f>
        <v/>
      </c>
      <c r="P111" s="30" t="str">
        <f>""</f>
        <v/>
      </c>
      <c r="Q111" s="43" t="str">
        <f>""</f>
        <v/>
      </c>
      <c r="R111" s="44">
        <v>9.32</v>
      </c>
      <c r="S111" s="44">
        <v>0</v>
      </c>
      <c r="T111" s="45">
        <f t="shared" si="7"/>
        <v>9.32</v>
      </c>
    </row>
    <row r="112" spans="1:20" s="30" customFormat="1" x14ac:dyDescent="0.25">
      <c r="A112" s="24" t="s">
        <v>24</v>
      </c>
      <c r="B112" s="40"/>
      <c r="C112" s="40"/>
      <c r="D112" s="24"/>
      <c r="E112" s="24"/>
      <c r="F112" s="40" t="e">
        <f t="shared" si="6"/>
        <v>#REF!</v>
      </c>
      <c r="G112" s="40" t="e">
        <f t="shared" si="6"/>
        <v>#REF!</v>
      </c>
      <c r="H112" s="41"/>
      <c r="K112" s="30" t="str">
        <f>"""GP"",""Ute Indian Tribe Membership Fund"",""aaa_contract_detail_sp"",""JRNENTRY"",""1615086"",""aaGLHdrID"",""1782959"",""aaGLDistID"",""14"",""aaGLAssignID"",""1"",""contract"",""3460 92 URHS FY2025"""</f>
        <v>"GP","Ute Indian Tribe Membership Fund","aaa_contract_detail_sp","JRNENTRY","1615086","aaGLHdrID","1782959","aaGLDistID","14","aaGLAssignID","1","contract","3460 92 URHS FY2025"</v>
      </c>
      <c r="L112" s="42">
        <v>45855</v>
      </c>
      <c r="M112" s="30">
        <v>1615086</v>
      </c>
      <c r="N112" s="30" t="str">
        <f>""</f>
        <v/>
      </c>
      <c r="O112" s="30" t="str">
        <f>""</f>
        <v/>
      </c>
      <c r="P112" s="30" t="str">
        <f>""</f>
        <v/>
      </c>
      <c r="Q112" s="43" t="str">
        <f>""</f>
        <v/>
      </c>
      <c r="R112" s="44">
        <v>163.25</v>
      </c>
      <c r="S112" s="44">
        <v>0</v>
      </c>
      <c r="T112" s="45">
        <f t="shared" si="7"/>
        <v>163.25</v>
      </c>
    </row>
    <row r="113" spans="1:20" s="30" customFormat="1" x14ac:dyDescent="0.25">
      <c r="A113" s="24" t="s">
        <v>24</v>
      </c>
      <c r="B113" s="40"/>
      <c r="C113" s="40"/>
      <c r="D113" s="24"/>
      <c r="E113" s="24"/>
      <c r="F113" s="40" t="e">
        <f t="shared" si="6"/>
        <v>#REF!</v>
      </c>
      <c r="G113" s="40" t="e">
        <f t="shared" si="6"/>
        <v>#REF!</v>
      </c>
      <c r="H113" s="41"/>
      <c r="K113" s="30" t="str">
        <f>"""GP"",""Ute Indian Tribe Membership Fund"",""aaa_contract_detail_sp"",""JRNENTRY"",""1615086"",""aaGLHdrID"",""1782959"",""aaGLDistID"",""15"",""aaGLAssignID"",""1"",""contract"",""3460 92 URHS FY2025"""</f>
        <v>"GP","Ute Indian Tribe Membership Fund","aaa_contract_detail_sp","JRNENTRY","1615086","aaGLHdrID","1782959","aaGLDistID","15","aaGLAssignID","1","contract","3460 92 URHS FY2025"</v>
      </c>
      <c r="L113" s="42">
        <v>45855</v>
      </c>
      <c r="M113" s="30">
        <v>1615086</v>
      </c>
      <c r="N113" s="30" t="str">
        <f>""</f>
        <v/>
      </c>
      <c r="O113" s="30" t="str">
        <f>""</f>
        <v/>
      </c>
      <c r="P113" s="30" t="str">
        <f>""</f>
        <v/>
      </c>
      <c r="Q113" s="43" t="str">
        <f>""</f>
        <v/>
      </c>
      <c r="R113" s="44">
        <v>38.18</v>
      </c>
      <c r="S113" s="44">
        <v>0</v>
      </c>
      <c r="T113" s="45">
        <f t="shared" si="7"/>
        <v>38.18</v>
      </c>
    </row>
    <row r="114" spans="1:20" s="30" customFormat="1" x14ac:dyDescent="0.25">
      <c r="A114" s="24" t="s">
        <v>24</v>
      </c>
      <c r="B114" s="40"/>
      <c r="C114" s="40"/>
      <c r="D114" s="24"/>
      <c r="E114" s="24"/>
      <c r="F114" s="40" t="e">
        <f t="shared" si="6"/>
        <v>#REF!</v>
      </c>
      <c r="G114" s="40" t="e">
        <f t="shared" si="6"/>
        <v>#REF!</v>
      </c>
      <c r="H114" s="41"/>
      <c r="K114" s="30" t="str">
        <f>"""GP"",""Ute Indian Tribe Membership Fund"",""aaa_contract_detail_sp"",""JRNENTRY"",""1615159"",""aaGLHdrID"",""1783032"",""aaGLDistID"",""13"",""aaGLAssignID"",""1"",""contract"",""3460 92 URHS FY2025"""</f>
        <v>"GP","Ute Indian Tribe Membership Fund","aaa_contract_detail_sp","JRNENTRY","1615159","aaGLHdrID","1783032","aaGLDistID","13","aaGLAssignID","1","contract","3460 92 URHS FY2025"</v>
      </c>
      <c r="L114" s="42">
        <v>45855</v>
      </c>
      <c r="M114" s="30">
        <v>1615159</v>
      </c>
      <c r="N114" s="30" t="str">
        <f>""</f>
        <v/>
      </c>
      <c r="O114" s="30" t="str">
        <f>""</f>
        <v/>
      </c>
      <c r="P114" s="30" t="str">
        <f>""</f>
        <v/>
      </c>
      <c r="Q114" s="43" t="str">
        <f>""</f>
        <v/>
      </c>
      <c r="R114" s="44">
        <v>84.4</v>
      </c>
      <c r="S114" s="44">
        <v>0</v>
      </c>
      <c r="T114" s="45">
        <f t="shared" si="7"/>
        <v>84.4</v>
      </c>
    </row>
    <row r="115" spans="1:20" s="30" customFormat="1" x14ac:dyDescent="0.25">
      <c r="A115" s="24" t="s">
        <v>24</v>
      </c>
      <c r="B115" s="40"/>
      <c r="C115" s="40"/>
      <c r="D115" s="24"/>
      <c r="E115" s="24"/>
      <c r="F115" s="40" t="e">
        <f t="shared" si="6"/>
        <v>#REF!</v>
      </c>
      <c r="G115" s="40" t="e">
        <f t="shared" si="6"/>
        <v>#REF!</v>
      </c>
      <c r="H115" s="41"/>
      <c r="K115" s="30" t="str">
        <f>"""GP"",""Ute Indian Tribe Membership Fund"",""aaa_contract_detail_sp"",""JRNENTRY"",""1615159"",""aaGLHdrID"",""1783032"",""aaGLDistID"",""14"",""aaGLAssignID"",""1"",""contract"",""3460 92 URHS FY2025"""</f>
        <v>"GP","Ute Indian Tribe Membership Fund","aaa_contract_detail_sp","JRNENTRY","1615159","aaGLHdrID","1783032","aaGLDistID","14","aaGLAssignID","1","contract","3460 92 URHS FY2025"</v>
      </c>
      <c r="L115" s="42">
        <v>45855</v>
      </c>
      <c r="M115" s="30">
        <v>1615159</v>
      </c>
      <c r="N115" s="30" t="str">
        <f>""</f>
        <v/>
      </c>
      <c r="O115" s="30" t="str">
        <f>""</f>
        <v/>
      </c>
      <c r="P115" s="30" t="str">
        <f>""</f>
        <v/>
      </c>
      <c r="Q115" s="43" t="str">
        <f>""</f>
        <v/>
      </c>
      <c r="R115" s="44">
        <v>19.739999999999998</v>
      </c>
      <c r="S115" s="44">
        <v>0</v>
      </c>
      <c r="T115" s="45">
        <f t="shared" si="7"/>
        <v>19.739999999999998</v>
      </c>
    </row>
    <row r="116" spans="1:20" s="30" customFormat="1" x14ac:dyDescent="0.25">
      <c r="A116" s="24" t="s">
        <v>24</v>
      </c>
      <c r="B116" s="40"/>
      <c r="C116" s="40"/>
      <c r="D116" s="24"/>
      <c r="E116" s="24"/>
      <c r="F116" s="40" t="e">
        <f t="shared" si="6"/>
        <v>#REF!</v>
      </c>
      <c r="G116" s="40" t="e">
        <f t="shared" si="6"/>
        <v>#REF!</v>
      </c>
      <c r="H116" s="41"/>
      <c r="K116" s="30" t="str">
        <f>"""GP"",""Ute Indian Tribe Membership Fund"",""aaa_contract_detail_sp"",""JRNENTRY"",""1615163"",""aaGLHdrID"",""1783036"",""aaGLDistID"",""14"",""aaGLAssignID"",""1"",""contract"",""3460 92 URHS FY2025"""</f>
        <v>"GP","Ute Indian Tribe Membership Fund","aaa_contract_detail_sp","JRNENTRY","1615163","aaGLHdrID","1783036","aaGLDistID","14","aaGLAssignID","1","contract","3460 92 URHS FY2025"</v>
      </c>
      <c r="L116" s="42">
        <v>45855</v>
      </c>
      <c r="M116" s="30">
        <v>1615163</v>
      </c>
      <c r="N116" s="30" t="str">
        <f>""</f>
        <v/>
      </c>
      <c r="O116" s="30" t="str">
        <f>""</f>
        <v/>
      </c>
      <c r="P116" s="30" t="str">
        <f>""</f>
        <v/>
      </c>
      <c r="Q116" s="43" t="str">
        <f>""</f>
        <v/>
      </c>
      <c r="R116" s="44">
        <v>168.2</v>
      </c>
      <c r="S116" s="44">
        <v>0</v>
      </c>
      <c r="T116" s="45">
        <f t="shared" si="7"/>
        <v>168.2</v>
      </c>
    </row>
    <row r="117" spans="1:20" s="30" customFormat="1" x14ac:dyDescent="0.25">
      <c r="A117" s="24" t="s">
        <v>24</v>
      </c>
      <c r="B117" s="40"/>
      <c r="C117" s="40"/>
      <c r="D117" s="24"/>
      <c r="E117" s="24"/>
      <c r="F117" s="40" t="e">
        <f t="shared" si="6"/>
        <v>#REF!</v>
      </c>
      <c r="G117" s="40" t="e">
        <f t="shared" si="6"/>
        <v>#REF!</v>
      </c>
      <c r="H117" s="41"/>
      <c r="K117" s="30" t="str">
        <f>"""GP"",""Ute Indian Tribe Membership Fund"",""aaa_contract_detail_sp"",""JRNENTRY"",""1615163"",""aaGLHdrID"",""1783036"",""aaGLDistID"",""15"",""aaGLAssignID"",""1"",""contract"",""3460 92 URHS FY2025"""</f>
        <v>"GP","Ute Indian Tribe Membership Fund","aaa_contract_detail_sp","JRNENTRY","1615163","aaGLHdrID","1783036","aaGLDistID","15","aaGLAssignID","1","contract","3460 92 URHS FY2025"</v>
      </c>
      <c r="L117" s="42">
        <v>45855</v>
      </c>
      <c r="M117" s="30">
        <v>1615163</v>
      </c>
      <c r="N117" s="30" t="str">
        <f>""</f>
        <v/>
      </c>
      <c r="O117" s="30" t="str">
        <f>""</f>
        <v/>
      </c>
      <c r="P117" s="30" t="str">
        <f>""</f>
        <v/>
      </c>
      <c r="Q117" s="43" t="str">
        <f>""</f>
        <v/>
      </c>
      <c r="R117" s="44">
        <v>39.33</v>
      </c>
      <c r="S117" s="44">
        <v>0</v>
      </c>
      <c r="T117" s="45">
        <f t="shared" si="7"/>
        <v>39.33</v>
      </c>
    </row>
    <row r="118" spans="1:20" s="30" customFormat="1" x14ac:dyDescent="0.25">
      <c r="A118" s="24" t="s">
        <v>24</v>
      </c>
      <c r="B118" s="40"/>
      <c r="C118" s="40"/>
      <c r="D118" s="24"/>
      <c r="E118" s="24"/>
      <c r="F118" s="40" t="e">
        <f t="shared" si="6"/>
        <v>#REF!</v>
      </c>
      <c r="G118" s="40" t="e">
        <f t="shared" si="6"/>
        <v>#REF!</v>
      </c>
      <c r="H118" s="41"/>
      <c r="K118" s="30" t="str">
        <f>"""GP"",""Ute Indian Tribe Membership Fund"",""aaa_contract_detail_sp"",""JRNENTRY"",""1615166"",""aaGLHdrID"",""1783039"",""aaGLDistID"",""17"",""aaGLAssignID"",""1"",""contract"",""3460 92 URHS FY2025"""</f>
        <v>"GP","Ute Indian Tribe Membership Fund","aaa_contract_detail_sp","JRNENTRY","1615166","aaGLHdrID","1783039","aaGLDistID","17","aaGLAssignID","1","contract","3460 92 URHS FY2025"</v>
      </c>
      <c r="L118" s="42">
        <v>45855</v>
      </c>
      <c r="M118" s="30">
        <v>1615166</v>
      </c>
      <c r="N118" s="30" t="str">
        <f>""</f>
        <v/>
      </c>
      <c r="O118" s="30" t="str">
        <f>""</f>
        <v/>
      </c>
      <c r="P118" s="30" t="str">
        <f>""</f>
        <v/>
      </c>
      <c r="Q118" s="43" t="str">
        <f>""</f>
        <v/>
      </c>
      <c r="R118" s="44">
        <v>267.85000000000002</v>
      </c>
      <c r="S118" s="44">
        <v>0</v>
      </c>
      <c r="T118" s="45">
        <f t="shared" si="7"/>
        <v>267.85000000000002</v>
      </c>
    </row>
    <row r="119" spans="1:20" s="30" customFormat="1" x14ac:dyDescent="0.25">
      <c r="A119" s="24" t="s">
        <v>24</v>
      </c>
      <c r="B119" s="40"/>
      <c r="C119" s="40"/>
      <c r="D119" s="24"/>
      <c r="E119" s="24"/>
      <c r="F119" s="40" t="e">
        <f t="shared" si="6"/>
        <v>#REF!</v>
      </c>
      <c r="G119" s="40" t="e">
        <f t="shared" si="6"/>
        <v>#REF!</v>
      </c>
      <c r="H119" s="41"/>
      <c r="K119" s="30" t="str">
        <f>"""GP"",""Ute Indian Tribe Membership Fund"",""aaa_contract_detail_sp"",""JRNENTRY"",""1615166"",""aaGLHdrID"",""1783039"",""aaGLDistID"",""18"",""aaGLAssignID"",""1"",""contract"",""3460 92 URHS FY2025"""</f>
        <v>"GP","Ute Indian Tribe Membership Fund","aaa_contract_detail_sp","JRNENTRY","1615166","aaGLHdrID","1783039","aaGLDistID","18","aaGLAssignID","1","contract","3460 92 URHS FY2025"</v>
      </c>
      <c r="L119" s="42">
        <v>45855</v>
      </c>
      <c r="M119" s="30">
        <v>1615166</v>
      </c>
      <c r="N119" s="30" t="str">
        <f>""</f>
        <v/>
      </c>
      <c r="O119" s="30" t="str">
        <f>""</f>
        <v/>
      </c>
      <c r="P119" s="30" t="str">
        <f>""</f>
        <v/>
      </c>
      <c r="Q119" s="43" t="str">
        <f>""</f>
        <v/>
      </c>
      <c r="R119" s="44">
        <v>62.65</v>
      </c>
      <c r="S119" s="44">
        <v>0</v>
      </c>
      <c r="T119" s="45">
        <f t="shared" si="7"/>
        <v>62.65</v>
      </c>
    </row>
    <row r="120" spans="1:20" s="30" customFormat="1" x14ac:dyDescent="0.25">
      <c r="A120" s="24" t="s">
        <v>24</v>
      </c>
      <c r="B120" s="40"/>
      <c r="C120" s="40"/>
      <c r="D120" s="24"/>
      <c r="E120" s="24"/>
      <c r="F120" s="40" t="e">
        <f t="shared" si="6"/>
        <v>#REF!</v>
      </c>
      <c r="G120" s="40" t="e">
        <f t="shared" si="6"/>
        <v>#REF!</v>
      </c>
      <c r="H120" s="41"/>
      <c r="K120" s="30" t="str">
        <f>"""GP"",""Ute Indian Tribe Membership Fund"",""aaa_contract_detail_sp"",""JRNENTRY"",""1618418"",""aaGLHdrID"",""1787015"",""aaGLDistID"",""670"",""aaGLAssignID"",""1"",""contract"",""3460 92 URHS FY2025"""</f>
        <v>"GP","Ute Indian Tribe Membership Fund","aaa_contract_detail_sp","JRNENTRY","1618418","aaGLHdrID","1787015","aaGLDistID","670","aaGLAssignID","1","contract","3460 92 URHS FY2025"</v>
      </c>
      <c r="L120" s="42">
        <v>45855</v>
      </c>
      <c r="M120" s="30">
        <v>1618418</v>
      </c>
      <c r="N120" s="30" t="str">
        <f>""</f>
        <v/>
      </c>
      <c r="O120" s="30" t="str">
        <f>""</f>
        <v/>
      </c>
      <c r="P120" s="30" t="str">
        <f>""</f>
        <v/>
      </c>
      <c r="Q120" s="43" t="str">
        <f>""</f>
        <v/>
      </c>
      <c r="R120" s="44">
        <v>48.64</v>
      </c>
      <c r="S120" s="44">
        <v>0</v>
      </c>
      <c r="T120" s="45">
        <f t="shared" si="7"/>
        <v>48.64</v>
      </c>
    </row>
    <row r="121" spans="1:20" s="30" customFormat="1" x14ac:dyDescent="0.25">
      <c r="A121" s="24" t="s">
        <v>24</v>
      </c>
      <c r="B121" s="40"/>
      <c r="C121" s="40"/>
      <c r="D121" s="24"/>
      <c r="E121" s="24"/>
      <c r="F121" s="40" t="e">
        <f t="shared" si="6"/>
        <v>#REF!</v>
      </c>
      <c r="G121" s="40" t="e">
        <f t="shared" si="6"/>
        <v>#REF!</v>
      </c>
      <c r="H121" s="41"/>
      <c r="K121" s="30" t="str">
        <f>"""GP"",""Ute Indian Tribe Membership Fund"",""aaa_contract_detail_sp"",""JRNENTRY"",""1618418"",""aaGLHdrID"",""1787015"",""aaGLDistID"",""671"",""aaGLAssignID"",""1"",""contract"",""3460 92 URHS FY2025"""</f>
        <v>"GP","Ute Indian Tribe Membership Fund","aaa_contract_detail_sp","JRNENTRY","1618418","aaGLHdrID","1787015","aaGLDistID","671","aaGLAssignID","1","contract","3460 92 URHS FY2025"</v>
      </c>
      <c r="L121" s="42">
        <v>45855</v>
      </c>
      <c r="M121" s="30">
        <v>1618418</v>
      </c>
      <c r="N121" s="30" t="str">
        <f>""</f>
        <v/>
      </c>
      <c r="O121" s="30" t="str">
        <f>""</f>
        <v/>
      </c>
      <c r="P121" s="30" t="str">
        <f>""</f>
        <v/>
      </c>
      <c r="Q121" s="43" t="str">
        <f>""</f>
        <v/>
      </c>
      <c r="R121" s="44">
        <v>3.56</v>
      </c>
      <c r="S121" s="44">
        <v>0</v>
      </c>
      <c r="T121" s="45">
        <f t="shared" si="7"/>
        <v>3.56</v>
      </c>
    </row>
    <row r="122" spans="1:20" s="30" customFormat="1" x14ac:dyDescent="0.25">
      <c r="A122" s="24" t="s">
        <v>24</v>
      </c>
      <c r="B122" s="40"/>
      <c r="C122" s="40"/>
      <c r="D122" s="24"/>
      <c r="E122" s="24"/>
      <c r="F122" s="40" t="e">
        <f t="shared" si="6"/>
        <v>#REF!</v>
      </c>
      <c r="G122" s="40" t="e">
        <f t="shared" si="6"/>
        <v>#REF!</v>
      </c>
      <c r="H122" s="41"/>
      <c r="K122" s="30" t="str">
        <f>"""GP"",""Ute Indian Tribe Membership Fund"",""aaa_contract_detail_sp"",""JRNENTRY"",""1618418"",""aaGLHdrID"",""1787015"",""aaGLDistID"",""672"",""aaGLAssignID"",""1"",""contract"",""3460 92 URHS FY2025"""</f>
        <v>"GP","Ute Indian Tribe Membership Fund","aaa_contract_detail_sp","JRNENTRY","1618418","aaGLHdrID","1787015","aaGLDistID","672","aaGLAssignID","1","contract","3460 92 URHS FY2025"</v>
      </c>
      <c r="L122" s="42">
        <v>45855</v>
      </c>
      <c r="M122" s="30">
        <v>1618418</v>
      </c>
      <c r="N122" s="30" t="str">
        <f>""</f>
        <v/>
      </c>
      <c r="O122" s="30" t="str">
        <f>""</f>
        <v/>
      </c>
      <c r="P122" s="30" t="str">
        <f>""</f>
        <v/>
      </c>
      <c r="Q122" s="43" t="str">
        <f>""</f>
        <v/>
      </c>
      <c r="R122" s="44">
        <v>109.32</v>
      </c>
      <c r="S122" s="44">
        <v>0</v>
      </c>
      <c r="T122" s="45">
        <f t="shared" si="7"/>
        <v>109.32</v>
      </c>
    </row>
    <row r="123" spans="1:20" s="30" customFormat="1" x14ac:dyDescent="0.25">
      <c r="A123" s="24" t="s">
        <v>24</v>
      </c>
      <c r="B123" s="40"/>
      <c r="C123" s="40"/>
      <c r="D123" s="24"/>
      <c r="E123" s="24"/>
      <c r="F123" s="40" t="e">
        <f t="shared" si="6"/>
        <v>#REF!</v>
      </c>
      <c r="G123" s="40" t="e">
        <f t="shared" si="6"/>
        <v>#REF!</v>
      </c>
      <c r="H123" s="41"/>
      <c r="K123" s="30" t="str">
        <f>"""GP"",""Ute Indian Tribe Membership Fund"",""aaa_contract_detail_sp"",""JRNENTRY"",""1618418"",""aaGLHdrID"",""1787015"",""aaGLDistID"",""673"",""aaGLAssignID"",""1"",""contract"",""3460 92 URHS FY2025"""</f>
        <v>"GP","Ute Indian Tribe Membership Fund","aaa_contract_detail_sp","JRNENTRY","1618418","aaGLHdrID","1787015","aaGLDistID","673","aaGLAssignID","1","contract","3460 92 URHS FY2025"</v>
      </c>
      <c r="L123" s="42">
        <v>45855</v>
      </c>
      <c r="M123" s="30">
        <v>1618418</v>
      </c>
      <c r="N123" s="30" t="str">
        <f>""</f>
        <v/>
      </c>
      <c r="O123" s="30" t="str">
        <f>""</f>
        <v/>
      </c>
      <c r="P123" s="30" t="str">
        <f>""</f>
        <v/>
      </c>
      <c r="Q123" s="43" t="str">
        <f>""</f>
        <v/>
      </c>
      <c r="R123" s="44">
        <v>3.44</v>
      </c>
      <c r="S123" s="44">
        <v>0</v>
      </c>
      <c r="T123" s="45">
        <f t="shared" si="7"/>
        <v>3.44</v>
      </c>
    </row>
    <row r="124" spans="1:20" s="30" customFormat="1" x14ac:dyDescent="0.25">
      <c r="A124" s="24" t="s">
        <v>24</v>
      </c>
      <c r="B124" s="40"/>
      <c r="C124" s="40"/>
      <c r="D124" s="24"/>
      <c r="E124" s="24"/>
      <c r="F124" s="40" t="e">
        <f t="shared" si="6"/>
        <v>#REF!</v>
      </c>
      <c r="G124" s="40" t="e">
        <f t="shared" si="6"/>
        <v>#REF!</v>
      </c>
      <c r="H124" s="41"/>
      <c r="K124" s="30" t="str">
        <f>"""GP"",""Ute Indian Tribe Membership Fund"",""aaa_contract_detail_sp"",""JRNENTRY"",""1618418"",""aaGLHdrID"",""1787015"",""aaGLDistID"",""674"",""aaGLAssignID"",""1"",""contract"",""3460 92 URHS FY2025"""</f>
        <v>"GP","Ute Indian Tribe Membership Fund","aaa_contract_detail_sp","JRNENTRY","1618418","aaGLHdrID","1787015","aaGLDistID","674","aaGLAssignID","1","contract","3460 92 URHS FY2025"</v>
      </c>
      <c r="L124" s="42">
        <v>45855</v>
      </c>
      <c r="M124" s="30">
        <v>1618418</v>
      </c>
      <c r="N124" s="30" t="str">
        <f>""</f>
        <v/>
      </c>
      <c r="O124" s="30" t="str">
        <f>""</f>
        <v/>
      </c>
      <c r="P124" s="30" t="str">
        <f>""</f>
        <v/>
      </c>
      <c r="Q124" s="43" t="str">
        <f>""</f>
        <v/>
      </c>
      <c r="R124" s="44">
        <v>29.92</v>
      </c>
      <c r="S124" s="44">
        <v>0</v>
      </c>
      <c r="T124" s="45">
        <f t="shared" si="7"/>
        <v>29.92</v>
      </c>
    </row>
    <row r="125" spans="1:20" s="30" customFormat="1" x14ac:dyDescent="0.25">
      <c r="A125" s="24" t="s">
        <v>24</v>
      </c>
      <c r="B125" s="40"/>
      <c r="C125" s="40"/>
      <c r="D125" s="24"/>
      <c r="E125" s="24"/>
      <c r="F125" s="40" t="e">
        <f t="shared" si="6"/>
        <v>#REF!</v>
      </c>
      <c r="G125" s="40" t="e">
        <f t="shared" si="6"/>
        <v>#REF!</v>
      </c>
      <c r="H125" s="41"/>
      <c r="K125" s="30" t="str">
        <f>"""GP"",""Ute Indian Tribe Membership Fund"",""aaa_contract_detail_sp"",""JRNENTRY"",""1618418"",""aaGLHdrID"",""1787015"",""aaGLDistID"",""675"",""aaGLAssignID"",""1"",""contract"",""3460 92 URHS FY2025"""</f>
        <v>"GP","Ute Indian Tribe Membership Fund","aaa_contract_detail_sp","JRNENTRY","1618418","aaGLHdrID","1787015","aaGLDistID","675","aaGLAssignID","1","contract","3460 92 URHS FY2025"</v>
      </c>
      <c r="L125" s="42">
        <v>45855</v>
      </c>
      <c r="M125" s="30">
        <v>1618418</v>
      </c>
      <c r="N125" s="30" t="str">
        <f>""</f>
        <v/>
      </c>
      <c r="O125" s="30" t="str">
        <f>""</f>
        <v/>
      </c>
      <c r="P125" s="30" t="str">
        <f>""</f>
        <v/>
      </c>
      <c r="Q125" s="43" t="str">
        <f>""</f>
        <v/>
      </c>
      <c r="R125" s="44">
        <v>26.33</v>
      </c>
      <c r="S125" s="44">
        <v>0</v>
      </c>
      <c r="T125" s="45">
        <f t="shared" si="7"/>
        <v>26.33</v>
      </c>
    </row>
    <row r="126" spans="1:20" s="30" customFormat="1" x14ac:dyDescent="0.25">
      <c r="A126" s="24" t="s">
        <v>24</v>
      </c>
      <c r="B126" s="40"/>
      <c r="C126" s="40"/>
      <c r="D126" s="24"/>
      <c r="E126" s="24"/>
      <c r="F126" s="40" t="e">
        <f t="shared" si="6"/>
        <v>#REF!</v>
      </c>
      <c r="G126" s="40" t="e">
        <f t="shared" si="6"/>
        <v>#REF!</v>
      </c>
      <c r="H126" s="41"/>
      <c r="K126" s="30" t="str">
        <f>"""GP"",""Ute Indian Tribe Membership Fund"",""aaa_contract_detail_sp"",""JRNENTRY"",""1618418"",""aaGLHdrID"",""1787015"",""aaGLDistID"",""676"",""aaGLAssignID"",""1"",""contract"",""3460 92 URHS FY2025"""</f>
        <v>"GP","Ute Indian Tribe Membership Fund","aaa_contract_detail_sp","JRNENTRY","1618418","aaGLHdrID","1787015","aaGLDistID","676","aaGLAssignID","1","contract","3460 92 URHS FY2025"</v>
      </c>
      <c r="L126" s="42">
        <v>45855</v>
      </c>
      <c r="M126" s="30">
        <v>1618418</v>
      </c>
      <c r="N126" s="30" t="str">
        <f>""</f>
        <v/>
      </c>
      <c r="O126" s="30" t="str">
        <f>""</f>
        <v/>
      </c>
      <c r="P126" s="30" t="str">
        <f>""</f>
        <v/>
      </c>
      <c r="Q126" s="43" t="str">
        <f>""</f>
        <v/>
      </c>
      <c r="R126" s="44">
        <v>24.1</v>
      </c>
      <c r="S126" s="44">
        <v>0</v>
      </c>
      <c r="T126" s="45">
        <f t="shared" si="7"/>
        <v>24.1</v>
      </c>
    </row>
    <row r="127" spans="1:20" s="30" customFormat="1" x14ac:dyDescent="0.25">
      <c r="A127" s="24" t="s">
        <v>24</v>
      </c>
      <c r="B127" s="40"/>
      <c r="C127" s="40"/>
      <c r="D127" s="24"/>
      <c r="E127" s="24"/>
      <c r="F127" s="40" t="e">
        <f t="shared" si="6"/>
        <v>#REF!</v>
      </c>
      <c r="G127" s="40" t="e">
        <f t="shared" si="6"/>
        <v>#REF!</v>
      </c>
      <c r="H127" s="41"/>
      <c r="K127" s="30" t="str">
        <f>"""GP"",""Ute Indian Tribe Membership Fund"",""aaa_contract_detail_sp"",""JRNENTRY"",""1618418"",""aaGLHdrID"",""1787015"",""aaGLDistID"",""677"",""aaGLAssignID"",""1"",""contract"",""3460 92 URHS FY2025"""</f>
        <v>"GP","Ute Indian Tribe Membership Fund","aaa_contract_detail_sp","JRNENTRY","1618418","aaGLHdrID","1787015","aaGLDistID","677","aaGLAssignID","1","contract","3460 92 URHS FY2025"</v>
      </c>
      <c r="L127" s="42">
        <v>45855</v>
      </c>
      <c r="M127" s="30">
        <v>1618418</v>
      </c>
      <c r="N127" s="30" t="str">
        <f>""</f>
        <v/>
      </c>
      <c r="O127" s="30" t="str">
        <f>""</f>
        <v/>
      </c>
      <c r="P127" s="30" t="str">
        <f>""</f>
        <v/>
      </c>
      <c r="Q127" s="43" t="str">
        <f>""</f>
        <v/>
      </c>
      <c r="R127" s="44">
        <v>13.61</v>
      </c>
      <c r="S127" s="44">
        <v>0</v>
      </c>
      <c r="T127" s="45">
        <f t="shared" si="7"/>
        <v>13.61</v>
      </c>
    </row>
    <row r="128" spans="1:20" s="30" customFormat="1" x14ac:dyDescent="0.25">
      <c r="A128" s="24" t="s">
        <v>24</v>
      </c>
      <c r="B128" s="40"/>
      <c r="C128" s="40"/>
      <c r="D128" s="24"/>
      <c r="E128" s="24"/>
      <c r="F128" s="40" t="e">
        <f t="shared" si="6"/>
        <v>#REF!</v>
      </c>
      <c r="G128" s="40" t="e">
        <f t="shared" si="6"/>
        <v>#REF!</v>
      </c>
      <c r="H128" s="41"/>
      <c r="K128" s="30" t="str">
        <f>"""GP"",""Ute Indian Tribe Membership Fund"",""aaa_contract_detail_sp"",""JRNENTRY"",""1616675"",""aaGLHdrID"",""1784523"",""aaGLDistID"",""16"",""aaGLAssignID"",""1"",""contract"",""3460 92 URHS FY2025"""</f>
        <v>"GP","Ute Indian Tribe Membership Fund","aaa_contract_detail_sp","JRNENTRY","1616675","aaGLHdrID","1784523","aaGLDistID","16","aaGLAssignID","1","contract","3460 92 URHS FY2025"</v>
      </c>
      <c r="L128" s="42">
        <v>45869</v>
      </c>
      <c r="M128" s="30">
        <v>1616675</v>
      </c>
      <c r="N128" s="30" t="str">
        <f>""</f>
        <v/>
      </c>
      <c r="O128" s="30" t="str">
        <f>""</f>
        <v/>
      </c>
      <c r="P128" s="30" t="str">
        <f>""</f>
        <v/>
      </c>
      <c r="Q128" s="43" t="str">
        <f>""</f>
        <v/>
      </c>
      <c r="R128" s="44">
        <v>144.63</v>
      </c>
      <c r="S128" s="44">
        <v>0</v>
      </c>
      <c r="T128" s="45">
        <f t="shared" si="7"/>
        <v>144.63</v>
      </c>
    </row>
    <row r="129" spans="1:20" s="30" customFormat="1" x14ac:dyDescent="0.25">
      <c r="A129" s="24" t="s">
        <v>24</v>
      </c>
      <c r="B129" s="40"/>
      <c r="C129" s="40"/>
      <c r="D129" s="24"/>
      <c r="E129" s="24"/>
      <c r="F129" s="40" t="e">
        <f t="shared" si="6"/>
        <v>#REF!</v>
      </c>
      <c r="G129" s="40" t="e">
        <f t="shared" si="6"/>
        <v>#REF!</v>
      </c>
      <c r="H129" s="41"/>
      <c r="K129" s="30" t="str">
        <f>"""GP"",""Ute Indian Tribe Membership Fund"",""aaa_contract_detail_sp"",""JRNENTRY"",""1616675"",""aaGLHdrID"",""1784523"",""aaGLDistID"",""17"",""aaGLAssignID"",""1"",""contract"",""3460 92 URHS FY2025"""</f>
        <v>"GP","Ute Indian Tribe Membership Fund","aaa_contract_detail_sp","JRNENTRY","1616675","aaGLHdrID","1784523","aaGLDistID","17","aaGLAssignID","1","contract","3460 92 URHS FY2025"</v>
      </c>
      <c r="L129" s="42">
        <v>45869</v>
      </c>
      <c r="M129" s="30">
        <v>1616675</v>
      </c>
      <c r="N129" s="30" t="str">
        <f>""</f>
        <v/>
      </c>
      <c r="O129" s="30" t="str">
        <f>""</f>
        <v/>
      </c>
      <c r="P129" s="30" t="str">
        <f>""</f>
        <v/>
      </c>
      <c r="Q129" s="43" t="str">
        <f>""</f>
        <v/>
      </c>
      <c r="R129" s="44">
        <v>33.82</v>
      </c>
      <c r="S129" s="44">
        <v>0</v>
      </c>
      <c r="T129" s="45">
        <f t="shared" si="7"/>
        <v>33.82</v>
      </c>
    </row>
    <row r="130" spans="1:20" s="30" customFormat="1" x14ac:dyDescent="0.25">
      <c r="A130" s="24" t="s">
        <v>24</v>
      </c>
      <c r="B130" s="40"/>
      <c r="C130" s="40"/>
      <c r="D130" s="24"/>
      <c r="E130" s="24"/>
      <c r="F130" s="40" t="e">
        <f t="shared" si="6"/>
        <v>#REF!</v>
      </c>
      <c r="G130" s="40" t="e">
        <f t="shared" si="6"/>
        <v>#REF!</v>
      </c>
      <c r="H130" s="41"/>
      <c r="K130" s="30" t="str">
        <f>"""GP"",""Ute Indian Tribe Membership Fund"",""aaa_contract_detail_sp"",""JRNENTRY"",""1616741"",""aaGLHdrID"",""1784589"",""aaGLDistID"",""17"",""aaGLAssignID"",""1"",""contract"",""3460 92 URHS FY2025"""</f>
        <v>"GP","Ute Indian Tribe Membership Fund","aaa_contract_detail_sp","JRNENTRY","1616741","aaGLHdrID","1784589","aaGLDistID","17","aaGLAssignID","1","contract","3460 92 URHS FY2025"</v>
      </c>
      <c r="L130" s="42">
        <v>45869</v>
      </c>
      <c r="M130" s="30">
        <v>1616741</v>
      </c>
      <c r="N130" s="30" t="str">
        <f>""</f>
        <v/>
      </c>
      <c r="O130" s="30" t="str">
        <f>""</f>
        <v/>
      </c>
      <c r="P130" s="30" t="str">
        <f>""</f>
        <v/>
      </c>
      <c r="Q130" s="43" t="str">
        <f>""</f>
        <v/>
      </c>
      <c r="R130" s="44">
        <v>178.2</v>
      </c>
      <c r="S130" s="44">
        <v>0</v>
      </c>
      <c r="T130" s="45">
        <f t="shared" si="7"/>
        <v>178.2</v>
      </c>
    </row>
    <row r="131" spans="1:20" s="30" customFormat="1" x14ac:dyDescent="0.25">
      <c r="A131" s="24" t="s">
        <v>24</v>
      </c>
      <c r="B131" s="40"/>
      <c r="C131" s="40"/>
      <c r="D131" s="24"/>
      <c r="E131" s="24"/>
      <c r="F131" s="40" t="e">
        <f t="shared" si="6"/>
        <v>#REF!</v>
      </c>
      <c r="G131" s="40" t="e">
        <f t="shared" si="6"/>
        <v>#REF!</v>
      </c>
      <c r="H131" s="41"/>
      <c r="K131" s="30" t="str">
        <f>"""GP"",""Ute Indian Tribe Membership Fund"",""aaa_contract_detail_sp"",""JRNENTRY"",""1616741"",""aaGLHdrID"",""1784589"",""aaGLDistID"",""18"",""aaGLAssignID"",""1"",""contract"",""3460 92 URHS FY2025"""</f>
        <v>"GP","Ute Indian Tribe Membership Fund","aaa_contract_detail_sp","JRNENTRY","1616741","aaGLHdrID","1784589","aaGLDistID","18","aaGLAssignID","1","contract","3460 92 URHS FY2025"</v>
      </c>
      <c r="L131" s="42">
        <v>45869</v>
      </c>
      <c r="M131" s="30">
        <v>1616741</v>
      </c>
      <c r="N131" s="30" t="str">
        <f>""</f>
        <v/>
      </c>
      <c r="O131" s="30" t="str">
        <f>""</f>
        <v/>
      </c>
      <c r="P131" s="30" t="str">
        <f>""</f>
        <v/>
      </c>
      <c r="Q131" s="43" t="str">
        <f>""</f>
        <v/>
      </c>
      <c r="R131" s="44">
        <v>41.68</v>
      </c>
      <c r="S131" s="44">
        <v>0</v>
      </c>
      <c r="T131" s="45">
        <f t="shared" si="7"/>
        <v>41.68</v>
      </c>
    </row>
    <row r="132" spans="1:20" s="30" customFormat="1" x14ac:dyDescent="0.25">
      <c r="A132" s="24" t="s">
        <v>24</v>
      </c>
      <c r="B132" s="40"/>
      <c r="C132" s="40"/>
      <c r="D132" s="24"/>
      <c r="E132" s="24"/>
      <c r="F132" s="40" t="e">
        <f t="shared" si="6"/>
        <v>#REF!</v>
      </c>
      <c r="G132" s="40" t="e">
        <f t="shared" si="6"/>
        <v>#REF!</v>
      </c>
      <c r="H132" s="41"/>
      <c r="K132" s="30" t="str">
        <f>"""GP"",""Ute Indian Tribe Membership Fund"",""aaa_contract_detail_sp"",""JRNENTRY"",""1616826"",""aaGLHdrID"",""1784674"",""aaGLDistID"",""16"",""aaGLAssignID"",""1"",""contract"",""3460 92 URHS FY2025"""</f>
        <v>"GP","Ute Indian Tribe Membership Fund","aaa_contract_detail_sp","JRNENTRY","1616826","aaGLHdrID","1784674","aaGLDistID","16","aaGLAssignID","1","contract","3460 92 URHS FY2025"</v>
      </c>
      <c r="L132" s="42">
        <v>45869</v>
      </c>
      <c r="M132" s="30">
        <v>1616826</v>
      </c>
      <c r="N132" s="30" t="str">
        <f>""</f>
        <v/>
      </c>
      <c r="O132" s="30" t="str">
        <f>""</f>
        <v/>
      </c>
      <c r="P132" s="30" t="str">
        <f>""</f>
        <v/>
      </c>
      <c r="Q132" s="43" t="str">
        <f>""</f>
        <v/>
      </c>
      <c r="R132" s="44">
        <v>196.22</v>
      </c>
      <c r="S132" s="44">
        <v>0</v>
      </c>
      <c r="T132" s="45">
        <f t="shared" si="7"/>
        <v>196.22</v>
      </c>
    </row>
    <row r="133" spans="1:20" s="30" customFormat="1" x14ac:dyDescent="0.25">
      <c r="A133" s="24" t="s">
        <v>24</v>
      </c>
      <c r="B133" s="40"/>
      <c r="C133" s="40"/>
      <c r="D133" s="24"/>
      <c r="E133" s="24"/>
      <c r="F133" s="40" t="e">
        <f t="shared" si="6"/>
        <v>#REF!</v>
      </c>
      <c r="G133" s="40" t="e">
        <f t="shared" si="6"/>
        <v>#REF!</v>
      </c>
      <c r="H133" s="41"/>
      <c r="K133" s="30" t="str">
        <f>"""GP"",""Ute Indian Tribe Membership Fund"",""aaa_contract_detail_sp"",""JRNENTRY"",""1616826"",""aaGLHdrID"",""1784674"",""aaGLDistID"",""17"",""aaGLAssignID"",""1"",""contract"",""3460 92 URHS FY2025"""</f>
        <v>"GP","Ute Indian Tribe Membership Fund","aaa_contract_detail_sp","JRNENTRY","1616826","aaGLHdrID","1784674","aaGLDistID","17","aaGLAssignID","1","contract","3460 92 URHS FY2025"</v>
      </c>
      <c r="L133" s="42">
        <v>45869</v>
      </c>
      <c r="M133" s="30">
        <v>1616826</v>
      </c>
      <c r="N133" s="30" t="str">
        <f>""</f>
        <v/>
      </c>
      <c r="O133" s="30" t="str">
        <f>""</f>
        <v/>
      </c>
      <c r="P133" s="30" t="str">
        <f>""</f>
        <v/>
      </c>
      <c r="Q133" s="43" t="str">
        <f>""</f>
        <v/>
      </c>
      <c r="R133" s="44">
        <v>45.89</v>
      </c>
      <c r="S133" s="44">
        <v>0</v>
      </c>
      <c r="T133" s="45">
        <f t="shared" si="7"/>
        <v>45.89</v>
      </c>
    </row>
    <row r="134" spans="1:20" s="30" customFormat="1" x14ac:dyDescent="0.25">
      <c r="A134" s="24" t="s">
        <v>24</v>
      </c>
      <c r="B134" s="40"/>
      <c r="C134" s="40"/>
      <c r="D134" s="24"/>
      <c r="E134" s="24"/>
      <c r="F134" s="40" t="e">
        <f t="shared" si="6"/>
        <v>#REF!</v>
      </c>
      <c r="G134" s="40" t="e">
        <f t="shared" si="6"/>
        <v>#REF!</v>
      </c>
      <c r="H134" s="41"/>
      <c r="K134" s="30" t="str">
        <f>"""GP"",""Ute Indian Tribe Membership Fund"",""aaa_contract_detail_sp"",""JRNENTRY"",""1616830"",""aaGLHdrID"",""1784678"",""aaGLDistID"",""17"",""aaGLAssignID"",""1"",""contract"",""3460 92 URHS FY2025"""</f>
        <v>"GP","Ute Indian Tribe Membership Fund","aaa_contract_detail_sp","JRNENTRY","1616830","aaGLHdrID","1784678","aaGLDistID","17","aaGLAssignID","1","contract","3460 92 URHS FY2025"</v>
      </c>
      <c r="L134" s="42">
        <v>45869</v>
      </c>
      <c r="M134" s="30">
        <v>1616830</v>
      </c>
      <c r="N134" s="30" t="str">
        <f>""</f>
        <v/>
      </c>
      <c r="O134" s="30" t="str">
        <f>""</f>
        <v/>
      </c>
      <c r="P134" s="30" t="str">
        <f>""</f>
        <v/>
      </c>
      <c r="Q134" s="43" t="str">
        <f>""</f>
        <v/>
      </c>
      <c r="R134" s="44">
        <v>242.21</v>
      </c>
      <c r="S134" s="44">
        <v>0</v>
      </c>
      <c r="T134" s="45">
        <f t="shared" si="7"/>
        <v>242.21</v>
      </c>
    </row>
    <row r="135" spans="1:20" s="30" customFormat="1" x14ac:dyDescent="0.25">
      <c r="A135" s="24" t="s">
        <v>24</v>
      </c>
      <c r="B135" s="40"/>
      <c r="C135" s="40"/>
      <c r="D135" s="24"/>
      <c r="E135" s="24"/>
      <c r="F135" s="40" t="e">
        <f t="shared" si="6"/>
        <v>#REF!</v>
      </c>
      <c r="G135" s="40" t="e">
        <f t="shared" si="6"/>
        <v>#REF!</v>
      </c>
      <c r="H135" s="41"/>
      <c r="K135" s="30" t="str">
        <f>"""GP"",""Ute Indian Tribe Membership Fund"",""aaa_contract_detail_sp"",""JRNENTRY"",""1616830"",""aaGLHdrID"",""1784678"",""aaGLDistID"",""18"",""aaGLAssignID"",""1"",""contract"",""3460 92 URHS FY2025"""</f>
        <v>"GP","Ute Indian Tribe Membership Fund","aaa_contract_detail_sp","JRNENTRY","1616830","aaGLHdrID","1784678","aaGLDistID","18","aaGLAssignID","1","contract","3460 92 URHS FY2025"</v>
      </c>
      <c r="L135" s="42">
        <v>45869</v>
      </c>
      <c r="M135" s="30">
        <v>1616830</v>
      </c>
      <c r="N135" s="30" t="str">
        <f>""</f>
        <v/>
      </c>
      <c r="O135" s="30" t="str">
        <f>""</f>
        <v/>
      </c>
      <c r="P135" s="30" t="str">
        <f>""</f>
        <v/>
      </c>
      <c r="Q135" s="43" t="str">
        <f>""</f>
        <v/>
      </c>
      <c r="R135" s="44">
        <v>56.64</v>
      </c>
      <c r="S135" s="44">
        <v>0</v>
      </c>
      <c r="T135" s="45">
        <f t="shared" si="7"/>
        <v>56.64</v>
      </c>
    </row>
    <row r="136" spans="1:20" s="30" customFormat="1" x14ac:dyDescent="0.25">
      <c r="A136" s="24" t="s">
        <v>24</v>
      </c>
      <c r="B136" s="40"/>
      <c r="C136" s="40"/>
      <c r="D136" s="24"/>
      <c r="E136" s="24"/>
      <c r="F136" s="40" t="e">
        <f t="shared" si="6"/>
        <v>#REF!</v>
      </c>
      <c r="G136" s="40" t="e">
        <f t="shared" si="6"/>
        <v>#REF!</v>
      </c>
      <c r="H136" s="41"/>
      <c r="K136" s="30" t="str">
        <f>"""GP"",""Ute Indian Tribe Membership Fund"",""aaa_contract_detail_sp"",""JRNENTRY"",""1616979"",""aaGLHdrID"",""1784827"",""aaGLDistID"",""16"",""aaGLAssignID"",""1"",""contract"",""3460 92 URHS FY2025"""</f>
        <v>"GP","Ute Indian Tribe Membership Fund","aaa_contract_detail_sp","JRNENTRY","1616979","aaGLHdrID","1784827","aaGLDistID","16","aaGLAssignID","1","contract","3460 92 URHS FY2025"</v>
      </c>
      <c r="L136" s="42">
        <v>45869</v>
      </c>
      <c r="M136" s="30">
        <v>1616979</v>
      </c>
      <c r="N136" s="30" t="str">
        <f>""</f>
        <v/>
      </c>
      <c r="O136" s="30" t="str">
        <f>""</f>
        <v/>
      </c>
      <c r="P136" s="30" t="str">
        <f>""</f>
        <v/>
      </c>
      <c r="Q136" s="43" t="str">
        <f>""</f>
        <v/>
      </c>
      <c r="R136" s="44">
        <v>131.66</v>
      </c>
      <c r="S136" s="44">
        <v>0</v>
      </c>
      <c r="T136" s="45">
        <f t="shared" si="7"/>
        <v>131.66</v>
      </c>
    </row>
    <row r="137" spans="1:20" s="30" customFormat="1" x14ac:dyDescent="0.25">
      <c r="A137" s="24" t="s">
        <v>24</v>
      </c>
      <c r="B137" s="40"/>
      <c r="C137" s="40"/>
      <c r="D137" s="24"/>
      <c r="E137" s="24"/>
      <c r="F137" s="40" t="e">
        <f t="shared" si="6"/>
        <v>#REF!</v>
      </c>
      <c r="G137" s="40" t="e">
        <f t="shared" si="6"/>
        <v>#REF!</v>
      </c>
      <c r="H137" s="41"/>
      <c r="K137" s="30" t="str">
        <f>"""GP"",""Ute Indian Tribe Membership Fund"",""aaa_contract_detail_sp"",""JRNENTRY"",""1616979"",""aaGLHdrID"",""1784827"",""aaGLDistID"",""17"",""aaGLAssignID"",""1"",""contract"",""3460 92 URHS FY2025"""</f>
        <v>"GP","Ute Indian Tribe Membership Fund","aaa_contract_detail_sp","JRNENTRY","1616979","aaGLHdrID","1784827","aaGLDistID","17","aaGLAssignID","1","contract","3460 92 URHS FY2025"</v>
      </c>
      <c r="L137" s="42">
        <v>45869</v>
      </c>
      <c r="M137" s="30">
        <v>1616979</v>
      </c>
      <c r="N137" s="30" t="str">
        <f>""</f>
        <v/>
      </c>
      <c r="O137" s="30" t="str">
        <f>""</f>
        <v/>
      </c>
      <c r="P137" s="30" t="str">
        <f>""</f>
        <v/>
      </c>
      <c r="Q137" s="43" t="str">
        <f>""</f>
        <v/>
      </c>
      <c r="R137" s="44">
        <v>30.79</v>
      </c>
      <c r="S137" s="44">
        <v>0</v>
      </c>
      <c r="T137" s="45">
        <f t="shared" si="7"/>
        <v>30.79</v>
      </c>
    </row>
    <row r="138" spans="1:20" s="30" customFormat="1" x14ac:dyDescent="0.25">
      <c r="A138" s="24" t="s">
        <v>24</v>
      </c>
      <c r="B138" s="40"/>
      <c r="C138" s="40"/>
      <c r="D138" s="24"/>
      <c r="E138" s="24"/>
      <c r="F138" s="40" t="e">
        <f t="shared" si="6"/>
        <v>#REF!</v>
      </c>
      <c r="G138" s="40" t="e">
        <f t="shared" si="6"/>
        <v>#REF!</v>
      </c>
      <c r="H138" s="41"/>
      <c r="K138" s="30" t="str">
        <f>"""GP"",""Ute Indian Tribe Membership Fund"",""aaa_contract_detail_sp"",""JRNENTRY"",""1617000"",""aaGLHdrID"",""1784848"",""aaGLDistID"",""14"",""aaGLAssignID"",""1"",""contract"",""3460 92 URHS FY2025"""</f>
        <v>"GP","Ute Indian Tribe Membership Fund","aaa_contract_detail_sp","JRNENTRY","1617000","aaGLHdrID","1784848","aaGLDistID","14","aaGLAssignID","1","contract","3460 92 URHS FY2025"</v>
      </c>
      <c r="L138" s="42">
        <v>45869</v>
      </c>
      <c r="M138" s="30">
        <v>1617000</v>
      </c>
      <c r="N138" s="30" t="str">
        <f>""</f>
        <v/>
      </c>
      <c r="O138" s="30" t="str">
        <f>""</f>
        <v/>
      </c>
      <c r="P138" s="30" t="str">
        <f>""</f>
        <v/>
      </c>
      <c r="Q138" s="43" t="str">
        <f>""</f>
        <v/>
      </c>
      <c r="R138" s="44">
        <v>163.24</v>
      </c>
      <c r="S138" s="44">
        <v>0</v>
      </c>
      <c r="T138" s="45">
        <f t="shared" si="7"/>
        <v>163.24</v>
      </c>
    </row>
    <row r="139" spans="1:20" s="30" customFormat="1" x14ac:dyDescent="0.25">
      <c r="A139" s="24" t="s">
        <v>24</v>
      </c>
      <c r="B139" s="40"/>
      <c r="C139" s="40"/>
      <c r="D139" s="24"/>
      <c r="E139" s="24"/>
      <c r="F139" s="40" t="e">
        <f t="shared" ref="F139:G163" si="8">F138</f>
        <v>#REF!</v>
      </c>
      <c r="G139" s="40" t="e">
        <f t="shared" si="8"/>
        <v>#REF!</v>
      </c>
      <c r="H139" s="41"/>
      <c r="K139" s="30" t="str">
        <f>"""GP"",""Ute Indian Tribe Membership Fund"",""aaa_contract_detail_sp"",""JRNENTRY"",""1617000"",""aaGLHdrID"",""1784848"",""aaGLDistID"",""15"",""aaGLAssignID"",""1"",""contract"",""3460 92 URHS FY2025"""</f>
        <v>"GP","Ute Indian Tribe Membership Fund","aaa_contract_detail_sp","JRNENTRY","1617000","aaGLHdrID","1784848","aaGLDistID","15","aaGLAssignID","1","contract","3460 92 URHS FY2025"</v>
      </c>
      <c r="L139" s="42">
        <v>45869</v>
      </c>
      <c r="M139" s="30">
        <v>1617000</v>
      </c>
      <c r="N139" s="30" t="str">
        <f>""</f>
        <v/>
      </c>
      <c r="O139" s="30" t="str">
        <f>""</f>
        <v/>
      </c>
      <c r="P139" s="30" t="str">
        <f>""</f>
        <v/>
      </c>
      <c r="Q139" s="43" t="str">
        <f>""</f>
        <v/>
      </c>
      <c r="R139" s="44">
        <v>38.18</v>
      </c>
      <c r="S139" s="44">
        <v>0</v>
      </c>
      <c r="T139" s="45">
        <f t="shared" ref="T139:T163" si="9">SUM(R139:S139)</f>
        <v>38.18</v>
      </c>
    </row>
    <row r="140" spans="1:20" s="30" customFormat="1" x14ac:dyDescent="0.25">
      <c r="A140" s="24" t="s">
        <v>24</v>
      </c>
      <c r="B140" s="40"/>
      <c r="C140" s="40"/>
      <c r="D140" s="24"/>
      <c r="E140" s="24"/>
      <c r="F140" s="40" t="e">
        <f t="shared" si="8"/>
        <v>#REF!</v>
      </c>
      <c r="G140" s="40" t="e">
        <f t="shared" si="8"/>
        <v>#REF!</v>
      </c>
      <c r="H140" s="41"/>
      <c r="K140" s="30" t="str">
        <f>"""GP"",""Ute Indian Tribe Membership Fund"",""aaa_contract_detail_sp"",""JRNENTRY"",""1617079"",""aaGLHdrID"",""1784927"",""aaGLDistID"",""13"",""aaGLAssignID"",""1"",""contract"",""3460 92 URHS FY2025"""</f>
        <v>"GP","Ute Indian Tribe Membership Fund","aaa_contract_detail_sp","JRNENTRY","1617079","aaGLHdrID","1784927","aaGLDistID","13","aaGLAssignID","1","contract","3460 92 URHS FY2025"</v>
      </c>
      <c r="L140" s="42">
        <v>45869</v>
      </c>
      <c r="M140" s="30">
        <v>1617079</v>
      </c>
      <c r="N140" s="30" t="str">
        <f>""</f>
        <v/>
      </c>
      <c r="O140" s="30" t="str">
        <f>""</f>
        <v/>
      </c>
      <c r="P140" s="30" t="str">
        <f>""</f>
        <v/>
      </c>
      <c r="Q140" s="43" t="str">
        <f>""</f>
        <v/>
      </c>
      <c r="R140" s="44">
        <v>84.4</v>
      </c>
      <c r="S140" s="44">
        <v>0</v>
      </c>
      <c r="T140" s="45">
        <f t="shared" si="9"/>
        <v>84.4</v>
      </c>
    </row>
    <row r="141" spans="1:20" s="30" customFormat="1" x14ac:dyDescent="0.25">
      <c r="A141" s="24" t="s">
        <v>24</v>
      </c>
      <c r="B141" s="40"/>
      <c r="C141" s="40"/>
      <c r="D141" s="24"/>
      <c r="E141" s="24"/>
      <c r="F141" s="40" t="e">
        <f t="shared" si="8"/>
        <v>#REF!</v>
      </c>
      <c r="G141" s="40" t="e">
        <f t="shared" si="8"/>
        <v>#REF!</v>
      </c>
      <c r="H141" s="41"/>
      <c r="K141" s="30" t="str">
        <f>"""GP"",""Ute Indian Tribe Membership Fund"",""aaa_contract_detail_sp"",""JRNENTRY"",""1617079"",""aaGLHdrID"",""1784927"",""aaGLDistID"",""14"",""aaGLAssignID"",""1"",""contract"",""3460 92 URHS FY2025"""</f>
        <v>"GP","Ute Indian Tribe Membership Fund","aaa_contract_detail_sp","JRNENTRY","1617079","aaGLHdrID","1784927","aaGLDistID","14","aaGLAssignID","1","contract","3460 92 URHS FY2025"</v>
      </c>
      <c r="L141" s="42">
        <v>45869</v>
      </c>
      <c r="M141" s="30">
        <v>1617079</v>
      </c>
      <c r="N141" s="30" t="str">
        <f>""</f>
        <v/>
      </c>
      <c r="O141" s="30" t="str">
        <f>""</f>
        <v/>
      </c>
      <c r="P141" s="30" t="str">
        <f>""</f>
        <v/>
      </c>
      <c r="Q141" s="43" t="str">
        <f>""</f>
        <v/>
      </c>
      <c r="R141" s="44">
        <v>19.739999999999998</v>
      </c>
      <c r="S141" s="44">
        <v>0</v>
      </c>
      <c r="T141" s="45">
        <f t="shared" si="9"/>
        <v>19.739999999999998</v>
      </c>
    </row>
    <row r="142" spans="1:20" s="30" customFormat="1" x14ac:dyDescent="0.25">
      <c r="A142" s="24" t="s">
        <v>24</v>
      </c>
      <c r="B142" s="40"/>
      <c r="C142" s="40"/>
      <c r="D142" s="24"/>
      <c r="E142" s="24"/>
      <c r="F142" s="40" t="e">
        <f t="shared" si="8"/>
        <v>#REF!</v>
      </c>
      <c r="G142" s="40" t="e">
        <f t="shared" si="8"/>
        <v>#REF!</v>
      </c>
      <c r="H142" s="41"/>
      <c r="K142" s="30" t="str">
        <f>"""GP"",""Ute Indian Tribe Membership Fund"",""aaa_contract_detail_sp"",""JRNENTRY"",""1617083"",""aaGLHdrID"",""1784931"",""aaGLDistID"",""13"",""aaGLAssignID"",""1"",""contract"",""3460 92 URHS FY2025"""</f>
        <v>"GP","Ute Indian Tribe Membership Fund","aaa_contract_detail_sp","JRNENTRY","1617083","aaGLHdrID","1784931","aaGLDistID","13","aaGLAssignID","1","contract","3460 92 URHS FY2025"</v>
      </c>
      <c r="L142" s="42">
        <v>45869</v>
      </c>
      <c r="M142" s="30">
        <v>1617083</v>
      </c>
      <c r="N142" s="30" t="str">
        <f>""</f>
        <v/>
      </c>
      <c r="O142" s="30" t="str">
        <f>""</f>
        <v/>
      </c>
      <c r="P142" s="30" t="str">
        <f>""</f>
        <v/>
      </c>
      <c r="Q142" s="43" t="str">
        <f>""</f>
        <v/>
      </c>
      <c r="R142" s="44">
        <v>88.84</v>
      </c>
      <c r="S142" s="44">
        <v>0</v>
      </c>
      <c r="T142" s="45">
        <f t="shared" si="9"/>
        <v>88.84</v>
      </c>
    </row>
    <row r="143" spans="1:20" s="30" customFormat="1" x14ac:dyDescent="0.25">
      <c r="A143" s="24" t="s">
        <v>24</v>
      </c>
      <c r="B143" s="40"/>
      <c r="C143" s="40"/>
      <c r="D143" s="24"/>
      <c r="E143" s="24"/>
      <c r="F143" s="40" t="e">
        <f t="shared" si="8"/>
        <v>#REF!</v>
      </c>
      <c r="G143" s="40" t="e">
        <f t="shared" si="8"/>
        <v>#REF!</v>
      </c>
      <c r="H143" s="41"/>
      <c r="K143" s="30" t="str">
        <f>"""GP"",""Ute Indian Tribe Membership Fund"",""aaa_contract_detail_sp"",""JRNENTRY"",""1617083"",""aaGLHdrID"",""1784931"",""aaGLDistID"",""14"",""aaGLAssignID"",""1"",""contract"",""3460 92 URHS FY2025"""</f>
        <v>"GP","Ute Indian Tribe Membership Fund","aaa_contract_detail_sp","JRNENTRY","1617083","aaGLHdrID","1784931","aaGLDistID","14","aaGLAssignID","1","contract","3460 92 URHS FY2025"</v>
      </c>
      <c r="L143" s="42">
        <v>45869</v>
      </c>
      <c r="M143" s="30">
        <v>1617083</v>
      </c>
      <c r="N143" s="30" t="str">
        <f>""</f>
        <v/>
      </c>
      <c r="O143" s="30" t="str">
        <f>""</f>
        <v/>
      </c>
      <c r="P143" s="30" t="str">
        <f>""</f>
        <v/>
      </c>
      <c r="Q143" s="43" t="str">
        <f>""</f>
        <v/>
      </c>
      <c r="R143" s="44">
        <v>20.78</v>
      </c>
      <c r="S143" s="44">
        <v>0</v>
      </c>
      <c r="T143" s="45">
        <f t="shared" si="9"/>
        <v>20.78</v>
      </c>
    </row>
    <row r="144" spans="1:20" s="30" customFormat="1" x14ac:dyDescent="0.25">
      <c r="A144" s="24" t="s">
        <v>24</v>
      </c>
      <c r="B144" s="40"/>
      <c r="C144" s="40"/>
      <c r="D144" s="24"/>
      <c r="E144" s="24"/>
      <c r="F144" s="40" t="e">
        <f t="shared" si="8"/>
        <v>#REF!</v>
      </c>
      <c r="G144" s="40" t="e">
        <f t="shared" si="8"/>
        <v>#REF!</v>
      </c>
      <c r="H144" s="41"/>
      <c r="K144" s="30" t="str">
        <f>"""GP"",""Ute Indian Tribe Membership Fund"",""aaa_contract_detail_sp"",""JRNENTRY"",""1617086"",""aaGLHdrID"",""1784934"",""aaGLDistID"",""16"",""aaGLAssignID"",""1"",""contract"",""3460 92 URHS FY2025"""</f>
        <v>"GP","Ute Indian Tribe Membership Fund","aaa_contract_detail_sp","JRNENTRY","1617086","aaGLHdrID","1784934","aaGLDistID","16","aaGLAssignID","1","contract","3460 92 URHS FY2025"</v>
      </c>
      <c r="L144" s="42">
        <v>45869</v>
      </c>
      <c r="M144" s="30">
        <v>1617086</v>
      </c>
      <c r="N144" s="30" t="str">
        <f>""</f>
        <v/>
      </c>
      <c r="O144" s="30" t="str">
        <f>""</f>
        <v/>
      </c>
      <c r="P144" s="30" t="str">
        <f>""</f>
        <v/>
      </c>
      <c r="Q144" s="43" t="str">
        <f>""</f>
        <v/>
      </c>
      <c r="R144" s="44">
        <v>96.58</v>
      </c>
      <c r="S144" s="44">
        <v>0</v>
      </c>
      <c r="T144" s="45">
        <f t="shared" si="9"/>
        <v>96.58</v>
      </c>
    </row>
    <row r="145" spans="1:20" s="30" customFormat="1" x14ac:dyDescent="0.25">
      <c r="A145" s="24" t="s">
        <v>24</v>
      </c>
      <c r="B145" s="40"/>
      <c r="C145" s="40"/>
      <c r="D145" s="24"/>
      <c r="E145" s="24"/>
      <c r="F145" s="40" t="e">
        <f t="shared" si="8"/>
        <v>#REF!</v>
      </c>
      <c r="G145" s="40" t="e">
        <f t="shared" si="8"/>
        <v>#REF!</v>
      </c>
      <c r="H145" s="41"/>
      <c r="K145" s="30" t="str">
        <f>"""GP"",""Ute Indian Tribe Membership Fund"",""aaa_contract_detail_sp"",""JRNENTRY"",""1617086"",""aaGLHdrID"",""1784934"",""aaGLDistID"",""17"",""aaGLAssignID"",""1"",""contract"",""3460 92 URHS FY2025"""</f>
        <v>"GP","Ute Indian Tribe Membership Fund","aaa_contract_detail_sp","JRNENTRY","1617086","aaGLHdrID","1784934","aaGLDistID","17","aaGLAssignID","1","contract","3460 92 URHS FY2025"</v>
      </c>
      <c r="L145" s="42">
        <v>45869</v>
      </c>
      <c r="M145" s="30">
        <v>1617086</v>
      </c>
      <c r="N145" s="30" t="str">
        <f>""</f>
        <v/>
      </c>
      <c r="O145" s="30" t="str">
        <f>""</f>
        <v/>
      </c>
      <c r="P145" s="30" t="str">
        <f>""</f>
        <v/>
      </c>
      <c r="Q145" s="43" t="str">
        <f>""</f>
        <v/>
      </c>
      <c r="R145" s="44">
        <v>22.58</v>
      </c>
      <c r="S145" s="44">
        <v>0</v>
      </c>
      <c r="T145" s="45">
        <f t="shared" si="9"/>
        <v>22.58</v>
      </c>
    </row>
    <row r="146" spans="1:20" s="30" customFormat="1" x14ac:dyDescent="0.25">
      <c r="A146" s="24" t="s">
        <v>24</v>
      </c>
      <c r="B146" s="40"/>
      <c r="C146" s="40"/>
      <c r="D146" s="24"/>
      <c r="E146" s="24"/>
      <c r="F146" s="40" t="e">
        <f t="shared" si="8"/>
        <v>#REF!</v>
      </c>
      <c r="G146" s="40" t="e">
        <f t="shared" si="8"/>
        <v>#REF!</v>
      </c>
      <c r="H146" s="41"/>
      <c r="K146" s="30" t="str">
        <f>"""GP"",""Ute Indian Tribe Membership Fund"",""aaa_contract_detail_sp"",""JRNENTRY"",""1619591"",""aaGLHdrID"",""1787735"",""aaGLDistID"",""16"",""aaGLAssignID"",""1"",""contract"",""3460 92 URHS FY2025"""</f>
        <v>"GP","Ute Indian Tribe Membership Fund","aaa_contract_detail_sp","JRNENTRY","1619591","aaGLHdrID","1787735","aaGLDistID","16","aaGLAssignID","1","contract","3460 92 URHS FY2025"</v>
      </c>
      <c r="L146" s="42">
        <v>45883</v>
      </c>
      <c r="M146" s="30">
        <v>1619591</v>
      </c>
      <c r="N146" s="30" t="str">
        <f>""</f>
        <v/>
      </c>
      <c r="O146" s="30" t="str">
        <f>""</f>
        <v/>
      </c>
      <c r="P146" s="30" t="str">
        <f>""</f>
        <v/>
      </c>
      <c r="Q146" s="43" t="str">
        <f>""</f>
        <v/>
      </c>
      <c r="R146" s="44">
        <v>144.63999999999999</v>
      </c>
      <c r="S146" s="44">
        <v>0</v>
      </c>
      <c r="T146" s="45">
        <f t="shared" si="9"/>
        <v>144.63999999999999</v>
      </c>
    </row>
    <row r="147" spans="1:20" s="30" customFormat="1" x14ac:dyDescent="0.25">
      <c r="A147" s="24" t="s">
        <v>24</v>
      </c>
      <c r="B147" s="40"/>
      <c r="C147" s="40"/>
      <c r="D147" s="24"/>
      <c r="E147" s="24"/>
      <c r="F147" s="40" t="e">
        <f t="shared" si="8"/>
        <v>#REF!</v>
      </c>
      <c r="G147" s="40" t="e">
        <f t="shared" si="8"/>
        <v>#REF!</v>
      </c>
      <c r="H147" s="41"/>
      <c r="K147" s="30" t="str">
        <f>"""GP"",""Ute Indian Tribe Membership Fund"",""aaa_contract_detail_sp"",""JRNENTRY"",""1619591"",""aaGLHdrID"",""1787735"",""aaGLDistID"",""17"",""aaGLAssignID"",""1"",""contract"",""3460 92 URHS FY2025"""</f>
        <v>"GP","Ute Indian Tribe Membership Fund","aaa_contract_detail_sp","JRNENTRY","1619591","aaGLHdrID","1787735","aaGLDistID","17","aaGLAssignID","1","contract","3460 92 URHS FY2025"</v>
      </c>
      <c r="L147" s="42">
        <v>45883</v>
      </c>
      <c r="M147" s="30">
        <v>1619591</v>
      </c>
      <c r="N147" s="30" t="str">
        <f>""</f>
        <v/>
      </c>
      <c r="O147" s="30" t="str">
        <f>""</f>
        <v/>
      </c>
      <c r="P147" s="30" t="str">
        <f>""</f>
        <v/>
      </c>
      <c r="Q147" s="43" t="str">
        <f>""</f>
        <v/>
      </c>
      <c r="R147" s="44">
        <v>33.83</v>
      </c>
      <c r="S147" s="44">
        <v>0</v>
      </c>
      <c r="T147" s="45">
        <f t="shared" si="9"/>
        <v>33.83</v>
      </c>
    </row>
    <row r="148" spans="1:20" s="30" customFormat="1" x14ac:dyDescent="0.25">
      <c r="A148" s="24" t="s">
        <v>24</v>
      </c>
      <c r="B148" s="40"/>
      <c r="C148" s="40"/>
      <c r="D148" s="24"/>
      <c r="E148" s="24"/>
      <c r="F148" s="40" t="e">
        <f t="shared" si="8"/>
        <v>#REF!</v>
      </c>
      <c r="G148" s="40" t="e">
        <f t="shared" si="8"/>
        <v>#REF!</v>
      </c>
      <c r="H148" s="41"/>
      <c r="K148" s="30" t="str">
        <f>"""GP"",""Ute Indian Tribe Membership Fund"",""aaa_contract_detail_sp"",""JRNENTRY"",""1619659"",""aaGLHdrID"",""1787803"",""aaGLDistID"",""17"",""aaGLAssignID"",""1"",""contract"",""3460 92 URHS FY2025"""</f>
        <v>"GP","Ute Indian Tribe Membership Fund","aaa_contract_detail_sp","JRNENTRY","1619659","aaGLHdrID","1787803","aaGLDistID","17","aaGLAssignID","1","contract","3460 92 URHS FY2025"</v>
      </c>
      <c r="L148" s="42">
        <v>45883</v>
      </c>
      <c r="M148" s="30">
        <v>1619659</v>
      </c>
      <c r="N148" s="30" t="str">
        <f>""</f>
        <v/>
      </c>
      <c r="O148" s="30" t="str">
        <f>""</f>
        <v/>
      </c>
      <c r="P148" s="30" t="str">
        <f>""</f>
        <v/>
      </c>
      <c r="Q148" s="43" t="str">
        <f>""</f>
        <v/>
      </c>
      <c r="R148" s="44">
        <v>178.2</v>
      </c>
      <c r="S148" s="44">
        <v>0</v>
      </c>
      <c r="T148" s="45">
        <f t="shared" si="9"/>
        <v>178.2</v>
      </c>
    </row>
    <row r="149" spans="1:20" s="30" customFormat="1" x14ac:dyDescent="0.25">
      <c r="A149" s="24" t="s">
        <v>24</v>
      </c>
      <c r="B149" s="40"/>
      <c r="C149" s="40"/>
      <c r="D149" s="24"/>
      <c r="E149" s="24"/>
      <c r="F149" s="40" t="e">
        <f t="shared" si="8"/>
        <v>#REF!</v>
      </c>
      <c r="G149" s="40" t="e">
        <f t="shared" si="8"/>
        <v>#REF!</v>
      </c>
      <c r="H149" s="41"/>
      <c r="K149" s="30" t="str">
        <f>"""GP"",""Ute Indian Tribe Membership Fund"",""aaa_contract_detail_sp"",""JRNENTRY"",""1619659"",""aaGLHdrID"",""1787803"",""aaGLDistID"",""18"",""aaGLAssignID"",""1"",""contract"",""3460 92 URHS FY2025"""</f>
        <v>"GP","Ute Indian Tribe Membership Fund","aaa_contract_detail_sp","JRNENTRY","1619659","aaGLHdrID","1787803","aaGLDistID","18","aaGLAssignID","1","contract","3460 92 URHS FY2025"</v>
      </c>
      <c r="L149" s="42">
        <v>45883</v>
      </c>
      <c r="M149" s="30">
        <v>1619659</v>
      </c>
      <c r="N149" s="30" t="str">
        <f>""</f>
        <v/>
      </c>
      <c r="O149" s="30" t="str">
        <f>""</f>
        <v/>
      </c>
      <c r="P149" s="30" t="str">
        <f>""</f>
        <v/>
      </c>
      <c r="Q149" s="43" t="str">
        <f>""</f>
        <v/>
      </c>
      <c r="R149" s="44">
        <v>41.67</v>
      </c>
      <c r="S149" s="44">
        <v>0</v>
      </c>
      <c r="T149" s="45">
        <f t="shared" si="9"/>
        <v>41.67</v>
      </c>
    </row>
    <row r="150" spans="1:20" s="30" customFormat="1" x14ac:dyDescent="0.25">
      <c r="A150" s="24" t="s">
        <v>24</v>
      </c>
      <c r="B150" s="40"/>
      <c r="C150" s="40"/>
      <c r="D150" s="24"/>
      <c r="E150" s="24"/>
      <c r="F150" s="40" t="e">
        <f t="shared" si="8"/>
        <v>#REF!</v>
      </c>
      <c r="G150" s="40" t="e">
        <f t="shared" si="8"/>
        <v>#REF!</v>
      </c>
      <c r="H150" s="41"/>
      <c r="K150" s="30" t="str">
        <f>"""GP"",""Ute Indian Tribe Membership Fund"",""aaa_contract_detail_sp"",""JRNENTRY"",""1619745"",""aaGLHdrID"",""1787889"",""aaGLDistID"",""16"",""aaGLAssignID"",""1"",""contract"",""3460 92 URHS FY2025"""</f>
        <v>"GP","Ute Indian Tribe Membership Fund","aaa_contract_detail_sp","JRNENTRY","1619745","aaGLHdrID","1787889","aaGLDistID","16","aaGLAssignID","1","contract","3460 92 URHS FY2025"</v>
      </c>
      <c r="L150" s="42">
        <v>45883</v>
      </c>
      <c r="M150" s="30">
        <v>1619745</v>
      </c>
      <c r="N150" s="30" t="str">
        <f>""</f>
        <v/>
      </c>
      <c r="O150" s="30" t="str">
        <f>""</f>
        <v/>
      </c>
      <c r="P150" s="30" t="str">
        <f>""</f>
        <v/>
      </c>
      <c r="Q150" s="43" t="str">
        <f>""</f>
        <v/>
      </c>
      <c r="R150" s="44">
        <v>196.22</v>
      </c>
      <c r="S150" s="44">
        <v>0</v>
      </c>
      <c r="T150" s="45">
        <f t="shared" si="9"/>
        <v>196.22</v>
      </c>
    </row>
    <row r="151" spans="1:20" s="30" customFormat="1" x14ac:dyDescent="0.25">
      <c r="A151" s="24" t="s">
        <v>24</v>
      </c>
      <c r="B151" s="40"/>
      <c r="C151" s="40"/>
      <c r="D151" s="24"/>
      <c r="E151" s="24"/>
      <c r="F151" s="40" t="e">
        <f t="shared" si="8"/>
        <v>#REF!</v>
      </c>
      <c r="G151" s="40" t="e">
        <f t="shared" si="8"/>
        <v>#REF!</v>
      </c>
      <c r="H151" s="41"/>
      <c r="K151" s="30" t="str">
        <f>"""GP"",""Ute Indian Tribe Membership Fund"",""aaa_contract_detail_sp"",""JRNENTRY"",""1619745"",""aaGLHdrID"",""1787889"",""aaGLDistID"",""17"",""aaGLAssignID"",""1"",""contract"",""3460 92 URHS FY2025"""</f>
        <v>"GP","Ute Indian Tribe Membership Fund","aaa_contract_detail_sp","JRNENTRY","1619745","aaGLHdrID","1787889","aaGLDistID","17","aaGLAssignID","1","contract","3460 92 URHS FY2025"</v>
      </c>
      <c r="L151" s="42">
        <v>45883</v>
      </c>
      <c r="M151" s="30">
        <v>1619745</v>
      </c>
      <c r="N151" s="30" t="str">
        <f>""</f>
        <v/>
      </c>
      <c r="O151" s="30" t="str">
        <f>""</f>
        <v/>
      </c>
      <c r="P151" s="30" t="str">
        <f>""</f>
        <v/>
      </c>
      <c r="Q151" s="43" t="str">
        <f>""</f>
        <v/>
      </c>
      <c r="R151" s="44">
        <v>45.89</v>
      </c>
      <c r="S151" s="44">
        <v>0</v>
      </c>
      <c r="T151" s="45">
        <f t="shared" si="9"/>
        <v>45.89</v>
      </c>
    </row>
    <row r="152" spans="1:20" s="30" customFormat="1" x14ac:dyDescent="0.25">
      <c r="A152" s="24" t="s">
        <v>24</v>
      </c>
      <c r="B152" s="40"/>
      <c r="C152" s="40"/>
      <c r="D152" s="24"/>
      <c r="E152" s="24"/>
      <c r="F152" s="40" t="e">
        <f t="shared" si="8"/>
        <v>#REF!</v>
      </c>
      <c r="G152" s="40" t="e">
        <f t="shared" si="8"/>
        <v>#REF!</v>
      </c>
      <c r="H152" s="41"/>
      <c r="K152" s="30" t="str">
        <f>"""GP"",""Ute Indian Tribe Membership Fund"",""aaa_contract_detail_sp"",""JRNENTRY"",""1619749"",""aaGLHdrID"",""1787893"",""aaGLDistID"",""17"",""aaGLAssignID"",""1"",""contract"",""3460 92 URHS FY2025"""</f>
        <v>"GP","Ute Indian Tribe Membership Fund","aaa_contract_detail_sp","JRNENTRY","1619749","aaGLHdrID","1787893","aaGLDistID","17","aaGLAssignID","1","contract","3460 92 URHS FY2025"</v>
      </c>
      <c r="L152" s="42">
        <v>45883</v>
      </c>
      <c r="M152" s="30">
        <v>1619749</v>
      </c>
      <c r="N152" s="30" t="str">
        <f>""</f>
        <v/>
      </c>
      <c r="O152" s="30" t="str">
        <f>""</f>
        <v/>
      </c>
      <c r="P152" s="30" t="str">
        <f>""</f>
        <v/>
      </c>
      <c r="Q152" s="43" t="str">
        <f>""</f>
        <v/>
      </c>
      <c r="R152" s="44">
        <v>242.2</v>
      </c>
      <c r="S152" s="44">
        <v>0</v>
      </c>
      <c r="T152" s="45">
        <f t="shared" si="9"/>
        <v>242.2</v>
      </c>
    </row>
    <row r="153" spans="1:20" s="30" customFormat="1" x14ac:dyDescent="0.25">
      <c r="A153" s="24" t="s">
        <v>24</v>
      </c>
      <c r="B153" s="40"/>
      <c r="C153" s="40"/>
      <c r="D153" s="24"/>
      <c r="E153" s="24"/>
      <c r="F153" s="40" t="e">
        <f t="shared" si="8"/>
        <v>#REF!</v>
      </c>
      <c r="G153" s="40" t="e">
        <f t="shared" si="8"/>
        <v>#REF!</v>
      </c>
      <c r="H153" s="41"/>
      <c r="K153" s="30" t="str">
        <f>"""GP"",""Ute Indian Tribe Membership Fund"",""aaa_contract_detail_sp"",""JRNENTRY"",""1619749"",""aaGLHdrID"",""1787893"",""aaGLDistID"",""18"",""aaGLAssignID"",""1"",""contract"",""3460 92 URHS FY2025"""</f>
        <v>"GP","Ute Indian Tribe Membership Fund","aaa_contract_detail_sp","JRNENTRY","1619749","aaGLHdrID","1787893","aaGLDistID","18","aaGLAssignID","1","contract","3460 92 URHS FY2025"</v>
      </c>
      <c r="L153" s="42">
        <v>45883</v>
      </c>
      <c r="M153" s="30">
        <v>1619749</v>
      </c>
      <c r="N153" s="30" t="str">
        <f>""</f>
        <v/>
      </c>
      <c r="O153" s="30" t="str">
        <f>""</f>
        <v/>
      </c>
      <c r="P153" s="30" t="str">
        <f>""</f>
        <v/>
      </c>
      <c r="Q153" s="43" t="str">
        <f>""</f>
        <v/>
      </c>
      <c r="R153" s="44">
        <v>56.65</v>
      </c>
      <c r="S153" s="44">
        <v>0</v>
      </c>
      <c r="T153" s="45">
        <f t="shared" si="9"/>
        <v>56.65</v>
      </c>
    </row>
    <row r="154" spans="1:20" s="30" customFormat="1" x14ac:dyDescent="0.25">
      <c r="A154" s="24" t="s">
        <v>24</v>
      </c>
      <c r="B154" s="40"/>
      <c r="C154" s="40"/>
      <c r="D154" s="24"/>
      <c r="E154" s="24"/>
      <c r="F154" s="40" t="e">
        <f t="shared" si="8"/>
        <v>#REF!</v>
      </c>
      <c r="G154" s="40" t="e">
        <f t="shared" si="8"/>
        <v>#REF!</v>
      </c>
      <c r="H154" s="41"/>
      <c r="K154" s="30" t="str">
        <f>"""GP"",""Ute Indian Tribe Membership Fund"",""aaa_contract_detail_sp"",""JRNENTRY"",""1619875"",""aaGLHdrID"",""1788019"",""aaGLDistID"",""18"",""aaGLAssignID"",""1"",""contract"",""3460 92 URHS FY2025"""</f>
        <v>"GP","Ute Indian Tribe Membership Fund","aaa_contract_detail_sp","JRNENTRY","1619875","aaGLHdrID","1788019","aaGLDistID","18","aaGLAssignID","1","contract","3460 92 URHS FY2025"</v>
      </c>
      <c r="L154" s="42">
        <v>45883</v>
      </c>
      <c r="M154" s="30">
        <v>1619875</v>
      </c>
      <c r="N154" s="30" t="str">
        <f>""</f>
        <v/>
      </c>
      <c r="O154" s="30" t="str">
        <f>""</f>
        <v/>
      </c>
      <c r="P154" s="30" t="str">
        <f>""</f>
        <v/>
      </c>
      <c r="Q154" s="43" t="str">
        <f>""</f>
        <v/>
      </c>
      <c r="R154" s="44">
        <v>131.66</v>
      </c>
      <c r="S154" s="44">
        <v>0</v>
      </c>
      <c r="T154" s="45">
        <f t="shared" si="9"/>
        <v>131.66</v>
      </c>
    </row>
    <row r="155" spans="1:20" s="30" customFormat="1" x14ac:dyDescent="0.25">
      <c r="A155" s="24" t="s">
        <v>24</v>
      </c>
      <c r="B155" s="40"/>
      <c r="C155" s="40"/>
      <c r="D155" s="24"/>
      <c r="E155" s="24"/>
      <c r="F155" s="40" t="e">
        <f t="shared" si="8"/>
        <v>#REF!</v>
      </c>
      <c r="G155" s="40" t="e">
        <f t="shared" si="8"/>
        <v>#REF!</v>
      </c>
      <c r="H155" s="41"/>
      <c r="K155" s="30" t="str">
        <f>"""GP"",""Ute Indian Tribe Membership Fund"",""aaa_contract_detail_sp"",""JRNENTRY"",""1619875"",""aaGLHdrID"",""1788019"",""aaGLDistID"",""19"",""aaGLAssignID"",""1"",""contract"",""3460 92 URHS FY2025"""</f>
        <v>"GP","Ute Indian Tribe Membership Fund","aaa_contract_detail_sp","JRNENTRY","1619875","aaGLHdrID","1788019","aaGLDistID","19","aaGLAssignID","1","contract","3460 92 URHS FY2025"</v>
      </c>
      <c r="L155" s="42">
        <v>45883</v>
      </c>
      <c r="M155" s="30">
        <v>1619875</v>
      </c>
      <c r="N155" s="30" t="str">
        <f>""</f>
        <v/>
      </c>
      <c r="O155" s="30" t="str">
        <f>""</f>
        <v/>
      </c>
      <c r="P155" s="30" t="str">
        <f>""</f>
        <v/>
      </c>
      <c r="Q155" s="43" t="str">
        <f>""</f>
        <v/>
      </c>
      <c r="R155" s="44">
        <v>30.8</v>
      </c>
      <c r="S155" s="44">
        <v>0</v>
      </c>
      <c r="T155" s="45">
        <f t="shared" si="9"/>
        <v>30.8</v>
      </c>
    </row>
    <row r="156" spans="1:20" s="30" customFormat="1" x14ac:dyDescent="0.25">
      <c r="A156" s="24" t="s">
        <v>24</v>
      </c>
      <c r="B156" s="40"/>
      <c r="C156" s="40"/>
      <c r="D156" s="24"/>
      <c r="E156" s="24"/>
      <c r="F156" s="40" t="e">
        <f t="shared" si="8"/>
        <v>#REF!</v>
      </c>
      <c r="G156" s="40" t="e">
        <f t="shared" si="8"/>
        <v>#REF!</v>
      </c>
      <c r="H156" s="41"/>
      <c r="K156" s="30" t="str">
        <f>"""GP"",""Ute Indian Tribe Membership Fund"",""aaa_contract_detail_sp"",""JRNENTRY"",""1619896"",""aaGLHdrID"",""1788040"",""aaGLDistID"",""14"",""aaGLAssignID"",""1"",""contract"",""3460 92 URHS FY2025"""</f>
        <v>"GP","Ute Indian Tribe Membership Fund","aaa_contract_detail_sp","JRNENTRY","1619896","aaGLHdrID","1788040","aaGLDistID","14","aaGLAssignID","1","contract","3460 92 URHS FY2025"</v>
      </c>
      <c r="L156" s="42">
        <v>45883</v>
      </c>
      <c r="M156" s="30">
        <v>1619896</v>
      </c>
      <c r="N156" s="30" t="str">
        <f>""</f>
        <v/>
      </c>
      <c r="O156" s="30" t="str">
        <f>""</f>
        <v/>
      </c>
      <c r="P156" s="30" t="str">
        <f>""</f>
        <v/>
      </c>
      <c r="Q156" s="43" t="str">
        <f>""</f>
        <v/>
      </c>
      <c r="R156" s="44">
        <v>163.25</v>
      </c>
      <c r="S156" s="44">
        <v>0</v>
      </c>
      <c r="T156" s="45">
        <f t="shared" si="9"/>
        <v>163.25</v>
      </c>
    </row>
    <row r="157" spans="1:20" s="30" customFormat="1" x14ac:dyDescent="0.25">
      <c r="A157" s="24" t="s">
        <v>24</v>
      </c>
      <c r="B157" s="40"/>
      <c r="C157" s="40"/>
      <c r="D157" s="24"/>
      <c r="E157" s="24"/>
      <c r="F157" s="40" t="e">
        <f t="shared" si="8"/>
        <v>#REF!</v>
      </c>
      <c r="G157" s="40" t="e">
        <f t="shared" si="8"/>
        <v>#REF!</v>
      </c>
      <c r="H157" s="41"/>
      <c r="K157" s="30" t="str">
        <f>"""GP"",""Ute Indian Tribe Membership Fund"",""aaa_contract_detail_sp"",""JRNENTRY"",""1619896"",""aaGLHdrID"",""1788040"",""aaGLDistID"",""15"",""aaGLAssignID"",""1"",""contract"",""3460 92 URHS FY2025"""</f>
        <v>"GP","Ute Indian Tribe Membership Fund","aaa_contract_detail_sp","JRNENTRY","1619896","aaGLHdrID","1788040","aaGLDistID","15","aaGLAssignID","1","contract","3460 92 URHS FY2025"</v>
      </c>
      <c r="L157" s="42">
        <v>45883</v>
      </c>
      <c r="M157" s="30">
        <v>1619896</v>
      </c>
      <c r="N157" s="30" t="str">
        <f>""</f>
        <v/>
      </c>
      <c r="O157" s="30" t="str">
        <f>""</f>
        <v/>
      </c>
      <c r="P157" s="30" t="str">
        <f>""</f>
        <v/>
      </c>
      <c r="Q157" s="43" t="str">
        <f>""</f>
        <v/>
      </c>
      <c r="R157" s="44">
        <v>38.18</v>
      </c>
      <c r="S157" s="44">
        <v>0</v>
      </c>
      <c r="T157" s="45">
        <f t="shared" si="9"/>
        <v>38.18</v>
      </c>
    </row>
    <row r="158" spans="1:20" s="30" customFormat="1" x14ac:dyDescent="0.25">
      <c r="A158" s="24" t="s">
        <v>24</v>
      </c>
      <c r="B158" s="40"/>
      <c r="C158" s="40"/>
      <c r="D158" s="24"/>
      <c r="E158" s="24"/>
      <c r="F158" s="40" t="e">
        <f t="shared" si="8"/>
        <v>#REF!</v>
      </c>
      <c r="G158" s="40" t="e">
        <f t="shared" si="8"/>
        <v>#REF!</v>
      </c>
      <c r="H158" s="41"/>
      <c r="K158" s="30" t="str">
        <f>"""GP"",""Ute Indian Tribe Membership Fund"",""aaa_contract_detail_sp"",""JRNENTRY"",""1619972"",""aaGLHdrID"",""1788116"",""aaGLDistID"",""13"",""aaGLAssignID"",""1"",""contract"",""3460 92 URHS FY2025"""</f>
        <v>"GP","Ute Indian Tribe Membership Fund","aaa_contract_detail_sp","JRNENTRY","1619972","aaGLHdrID","1788116","aaGLDistID","13","aaGLAssignID","1","contract","3460 92 URHS FY2025"</v>
      </c>
      <c r="L158" s="42">
        <v>45883</v>
      </c>
      <c r="M158" s="30">
        <v>1619972</v>
      </c>
      <c r="N158" s="30" t="str">
        <f>""</f>
        <v/>
      </c>
      <c r="O158" s="30" t="str">
        <f>""</f>
        <v/>
      </c>
      <c r="P158" s="30" t="str">
        <f>""</f>
        <v/>
      </c>
      <c r="Q158" s="43" t="str">
        <f>""</f>
        <v/>
      </c>
      <c r="R158" s="44">
        <v>84.4</v>
      </c>
      <c r="S158" s="44">
        <v>0</v>
      </c>
      <c r="T158" s="45">
        <f t="shared" si="9"/>
        <v>84.4</v>
      </c>
    </row>
    <row r="159" spans="1:20" s="30" customFormat="1" x14ac:dyDescent="0.25">
      <c r="A159" s="24" t="s">
        <v>24</v>
      </c>
      <c r="B159" s="40"/>
      <c r="C159" s="40"/>
      <c r="D159" s="24"/>
      <c r="E159" s="24"/>
      <c r="F159" s="40" t="e">
        <f t="shared" si="8"/>
        <v>#REF!</v>
      </c>
      <c r="G159" s="40" t="e">
        <f t="shared" si="8"/>
        <v>#REF!</v>
      </c>
      <c r="H159" s="41"/>
      <c r="K159" s="30" t="str">
        <f>"""GP"",""Ute Indian Tribe Membership Fund"",""aaa_contract_detail_sp"",""JRNENTRY"",""1619972"",""aaGLHdrID"",""1788116"",""aaGLDistID"",""14"",""aaGLAssignID"",""1"",""contract"",""3460 92 URHS FY2025"""</f>
        <v>"GP","Ute Indian Tribe Membership Fund","aaa_contract_detail_sp","JRNENTRY","1619972","aaGLHdrID","1788116","aaGLDistID","14","aaGLAssignID","1","contract","3460 92 URHS FY2025"</v>
      </c>
      <c r="L159" s="42">
        <v>45883</v>
      </c>
      <c r="M159" s="30">
        <v>1619972</v>
      </c>
      <c r="N159" s="30" t="str">
        <f>""</f>
        <v/>
      </c>
      <c r="O159" s="30" t="str">
        <f>""</f>
        <v/>
      </c>
      <c r="P159" s="30" t="str">
        <f>""</f>
        <v/>
      </c>
      <c r="Q159" s="43" t="str">
        <f>""</f>
        <v/>
      </c>
      <c r="R159" s="44">
        <v>19.73</v>
      </c>
      <c r="S159" s="44">
        <v>0</v>
      </c>
      <c r="T159" s="45">
        <f t="shared" si="9"/>
        <v>19.73</v>
      </c>
    </row>
    <row r="160" spans="1:20" s="30" customFormat="1" x14ac:dyDescent="0.25">
      <c r="A160" s="24" t="s">
        <v>24</v>
      </c>
      <c r="B160" s="40"/>
      <c r="C160" s="40"/>
      <c r="D160" s="24"/>
      <c r="E160" s="24"/>
      <c r="F160" s="40" t="e">
        <f t="shared" si="8"/>
        <v>#REF!</v>
      </c>
      <c r="G160" s="40" t="e">
        <f t="shared" si="8"/>
        <v>#REF!</v>
      </c>
      <c r="H160" s="41"/>
      <c r="K160" s="30" t="str">
        <f>"""GP"",""Ute Indian Tribe Membership Fund"",""aaa_contract_detail_sp"",""JRNENTRY"",""1619975"",""aaGLHdrID"",""1788119"",""aaGLDistID"",""13"",""aaGLAssignID"",""1"",""contract"",""3460 92 URHS FY2025"""</f>
        <v>"GP","Ute Indian Tribe Membership Fund","aaa_contract_detail_sp","JRNENTRY","1619975","aaGLHdrID","1788119","aaGLDistID","13","aaGLAssignID","1","contract","3460 92 URHS FY2025"</v>
      </c>
      <c r="L160" s="42">
        <v>45883</v>
      </c>
      <c r="M160" s="30">
        <v>1619975</v>
      </c>
      <c r="N160" s="30" t="str">
        <f>""</f>
        <v/>
      </c>
      <c r="O160" s="30" t="str">
        <f>""</f>
        <v/>
      </c>
      <c r="P160" s="30" t="str">
        <f>""</f>
        <v/>
      </c>
      <c r="Q160" s="43" t="str">
        <f>""</f>
        <v/>
      </c>
      <c r="R160" s="44">
        <v>88.84</v>
      </c>
      <c r="S160" s="44">
        <v>0</v>
      </c>
      <c r="T160" s="45">
        <f t="shared" si="9"/>
        <v>88.84</v>
      </c>
    </row>
    <row r="161" spans="1:20" s="30" customFormat="1" x14ac:dyDescent="0.25">
      <c r="A161" s="24" t="s">
        <v>24</v>
      </c>
      <c r="B161" s="40"/>
      <c r="C161" s="40"/>
      <c r="D161" s="24"/>
      <c r="E161" s="24"/>
      <c r="F161" s="40" t="e">
        <f t="shared" si="8"/>
        <v>#REF!</v>
      </c>
      <c r="G161" s="40" t="e">
        <f t="shared" si="8"/>
        <v>#REF!</v>
      </c>
      <c r="H161" s="41"/>
      <c r="K161" s="30" t="str">
        <f>"""GP"",""Ute Indian Tribe Membership Fund"",""aaa_contract_detail_sp"",""JRNENTRY"",""1619975"",""aaGLHdrID"",""1788119"",""aaGLDistID"",""14"",""aaGLAssignID"",""1"",""contract"",""3460 92 URHS FY2025"""</f>
        <v>"GP","Ute Indian Tribe Membership Fund","aaa_contract_detail_sp","JRNENTRY","1619975","aaGLHdrID","1788119","aaGLDistID","14","aaGLAssignID","1","contract","3460 92 URHS FY2025"</v>
      </c>
      <c r="L161" s="42">
        <v>45883</v>
      </c>
      <c r="M161" s="30">
        <v>1619975</v>
      </c>
      <c r="N161" s="30" t="str">
        <f>""</f>
        <v/>
      </c>
      <c r="O161" s="30" t="str">
        <f>""</f>
        <v/>
      </c>
      <c r="P161" s="30" t="str">
        <f>""</f>
        <v/>
      </c>
      <c r="Q161" s="43" t="str">
        <f>""</f>
        <v/>
      </c>
      <c r="R161" s="44">
        <v>20.78</v>
      </c>
      <c r="S161" s="44">
        <v>0</v>
      </c>
      <c r="T161" s="45">
        <f t="shared" si="9"/>
        <v>20.78</v>
      </c>
    </row>
    <row r="162" spans="1:20" s="30" customFormat="1" x14ac:dyDescent="0.25">
      <c r="A162" s="24" t="s">
        <v>24</v>
      </c>
      <c r="B162" s="40"/>
      <c r="C162" s="40"/>
      <c r="D162" s="24"/>
      <c r="E162" s="24"/>
      <c r="F162" s="40" t="e">
        <f t="shared" si="8"/>
        <v>#REF!</v>
      </c>
      <c r="G162" s="40" t="e">
        <f t="shared" si="8"/>
        <v>#REF!</v>
      </c>
      <c r="H162" s="41"/>
      <c r="K162" s="30" t="str">
        <f>"""GP"",""Ute Indian Tribe Membership Fund"",""aaa_contract_detail_sp"",""JRNENTRY"",""1619979"",""aaGLHdrID"",""1788123"",""aaGLDistID"",""16"",""aaGLAssignID"",""1"",""contract"",""3460 92 URHS FY2025"""</f>
        <v>"GP","Ute Indian Tribe Membership Fund","aaa_contract_detail_sp","JRNENTRY","1619979","aaGLHdrID","1788123","aaGLDistID","16","aaGLAssignID","1","contract","3460 92 URHS FY2025"</v>
      </c>
      <c r="L162" s="42">
        <v>45883</v>
      </c>
      <c r="M162" s="30">
        <v>1619979</v>
      </c>
      <c r="N162" s="30" t="str">
        <f>""</f>
        <v/>
      </c>
      <c r="O162" s="30" t="str">
        <f>""</f>
        <v/>
      </c>
      <c r="P162" s="30" t="str">
        <f>""</f>
        <v/>
      </c>
      <c r="Q162" s="43" t="str">
        <f>""</f>
        <v/>
      </c>
      <c r="R162" s="44">
        <v>96.58</v>
      </c>
      <c r="S162" s="44">
        <v>0</v>
      </c>
      <c r="T162" s="45">
        <f t="shared" si="9"/>
        <v>96.58</v>
      </c>
    </row>
    <row r="163" spans="1:20" s="30" customFormat="1" x14ac:dyDescent="0.25">
      <c r="A163" s="24" t="s">
        <v>24</v>
      </c>
      <c r="B163" s="40"/>
      <c r="C163" s="40"/>
      <c r="D163" s="24"/>
      <c r="E163" s="24"/>
      <c r="F163" s="40" t="e">
        <f t="shared" si="8"/>
        <v>#REF!</v>
      </c>
      <c r="G163" s="40" t="e">
        <f t="shared" si="8"/>
        <v>#REF!</v>
      </c>
      <c r="H163" s="41"/>
      <c r="K163" s="30" t="str">
        <f>"""GP"",""Ute Indian Tribe Membership Fund"",""aaa_contract_detail_sp"",""JRNENTRY"",""1619979"",""aaGLHdrID"",""1788123"",""aaGLDistID"",""17"",""aaGLAssignID"",""1"",""contract"",""3460 92 URHS FY2025"""</f>
        <v>"GP","Ute Indian Tribe Membership Fund","aaa_contract_detail_sp","JRNENTRY","1619979","aaGLHdrID","1788123","aaGLDistID","17","aaGLAssignID","1","contract","3460 92 URHS FY2025"</v>
      </c>
      <c r="L163" s="42">
        <v>45883</v>
      </c>
      <c r="M163" s="30">
        <v>1619979</v>
      </c>
      <c r="N163" s="30" t="str">
        <f>""</f>
        <v/>
      </c>
      <c r="O163" s="30" t="str">
        <f>""</f>
        <v/>
      </c>
      <c r="P163" s="30" t="str">
        <f>""</f>
        <v/>
      </c>
      <c r="Q163" s="43" t="str">
        <f>""</f>
        <v/>
      </c>
      <c r="R163" s="44">
        <v>22.59</v>
      </c>
      <c r="S163" s="44">
        <v>0</v>
      </c>
      <c r="T163" s="45">
        <f t="shared" si="9"/>
        <v>22.59</v>
      </c>
    </row>
    <row r="164" spans="1:20" s="30" customFormat="1" ht="12.75" x14ac:dyDescent="0.2">
      <c r="A164" s="24" t="s">
        <v>24</v>
      </c>
      <c r="B164" s="40"/>
      <c r="C164" s="40"/>
      <c r="D164" s="24"/>
      <c r="E164" s="24"/>
      <c r="F164" s="40" t="e">
        <f>#REF!</f>
        <v>#REF!</v>
      </c>
      <c r="G164" s="40" t="e">
        <f>#REF!</f>
        <v>#REF!</v>
      </c>
      <c r="H164" s="41"/>
    </row>
    <row r="165" spans="1:20" s="30" customFormat="1" ht="12.75" x14ac:dyDescent="0.2">
      <c r="A165" s="24" t="s">
        <v>24</v>
      </c>
      <c r="B165" s="24"/>
      <c r="C165" s="24"/>
      <c r="D165" s="24"/>
      <c r="E165" s="24"/>
      <c r="F165" s="24"/>
      <c r="G165" s="24"/>
      <c r="H165" s="29"/>
      <c r="I165" s="53" t="str">
        <f>I65&amp;"   "&amp;J65&amp;"         Total:"</f>
        <v>5021-0-6110-3460   Fringe Benefits - Taxes         Total:</v>
      </c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46">
        <f>SUBTOTAL(9,T66:T164)</f>
        <v>7728.4699999999984</v>
      </c>
    </row>
    <row r="166" spans="1:20" s="30" customFormat="1" ht="12.75" x14ac:dyDescent="0.2">
      <c r="A166" s="24" t="s">
        <v>24</v>
      </c>
      <c r="B166" s="24"/>
      <c r="C166" s="24"/>
      <c r="D166" s="24"/>
      <c r="E166" s="24"/>
      <c r="F166" s="24"/>
      <c r="G166" s="24"/>
      <c r="H166" s="29"/>
    </row>
    <row r="167" spans="1:20" s="30" customFormat="1" ht="12.75" x14ac:dyDescent="0.2">
      <c r="A167" s="24" t="s">
        <v>24</v>
      </c>
      <c r="B167" s="24"/>
      <c r="C167" s="24"/>
      <c r="D167" s="24"/>
      <c r="E167" s="24"/>
      <c r="F167" s="24"/>
      <c r="G167" s="24"/>
      <c r="H167" s="29"/>
    </row>
    <row r="168" spans="1:20" s="30" customFormat="1" ht="12.75" x14ac:dyDescent="0.2">
      <c r="A168" s="24" t="s">
        <v>24</v>
      </c>
      <c r="B168" s="24"/>
      <c r="C168" s="24"/>
      <c r="D168" s="24"/>
      <c r="E168" s="24"/>
      <c r="F168" s="24" t="str">
        <f>"5021-0-6115-3460"</f>
        <v>5021-0-6115-3460</v>
      </c>
      <c r="G168" s="24" t="str">
        <f>"5021-0-6115-3460"</f>
        <v>5021-0-6115-3460</v>
      </c>
      <c r="H168" s="29"/>
      <c r="I168" s="38" t="str">
        <f>G168</f>
        <v>5021-0-6115-3460</v>
      </c>
      <c r="J168" s="38" t="str">
        <f>"Fringe Benefits - Health and Life Insurance"</f>
        <v>Fringe Benefits - Health and Life Insurance</v>
      </c>
      <c r="Q168" s="38"/>
      <c r="R168" s="39"/>
    </row>
    <row r="169" spans="1:20" s="30" customFormat="1" x14ac:dyDescent="0.25">
      <c r="A169" s="24" t="s">
        <v>24</v>
      </c>
      <c r="B169" s="40"/>
      <c r="C169" s="40"/>
      <c r="D169" s="24"/>
      <c r="E169" s="24"/>
      <c r="F169" s="40" t="e">
        <f>#REF!</f>
        <v>#REF!</v>
      </c>
      <c r="G169" s="40" t="e">
        <f>#REF!</f>
        <v>#REF!</v>
      </c>
      <c r="H169" s="41"/>
      <c r="K169" s="30" t="str">
        <f>"""GP"",""Ute Indian Tribe Membership Fund"",""aaa_contract_detail_sp"",""JRNENTRY"",""1612359"",""aaGLHdrID"",""1781970"",""aaGLDistID"",""18"",""aaGLAssignID"",""1"",""contract"",""3460 92 URHS FY2025"""</f>
        <v>"GP","Ute Indian Tribe Membership Fund","aaa_contract_detail_sp","JRNENTRY","1612359","aaGLHdrID","1781970","aaGLDistID","18","aaGLAssignID","1","contract","3460 92 URHS FY2025"</v>
      </c>
      <c r="L169" s="42">
        <v>45840</v>
      </c>
      <c r="M169" s="30">
        <v>1612359</v>
      </c>
      <c r="N169" s="30" t="str">
        <f>""</f>
        <v/>
      </c>
      <c r="O169" s="30" t="str">
        <f>""</f>
        <v/>
      </c>
      <c r="P169" s="30" t="str">
        <f>""</f>
        <v/>
      </c>
      <c r="Q169" s="43" t="str">
        <f>""</f>
        <v/>
      </c>
      <c r="R169" s="44">
        <v>700.47</v>
      </c>
      <c r="S169" s="44">
        <v>0</v>
      </c>
      <c r="T169" s="45">
        <f t="shared" ref="T169:T196" si="10">SUM(R169:S169)</f>
        <v>700.47</v>
      </c>
    </row>
    <row r="170" spans="1:20" s="30" customFormat="1" x14ac:dyDescent="0.25">
      <c r="A170" s="24" t="s">
        <v>24</v>
      </c>
      <c r="B170" s="40"/>
      <c r="C170" s="40"/>
      <c r="D170" s="24"/>
      <c r="E170" s="24"/>
      <c r="F170" s="40" t="e">
        <f t="shared" ref="F170:G188" si="11">F169</f>
        <v>#REF!</v>
      </c>
      <c r="G170" s="40" t="e">
        <f t="shared" si="11"/>
        <v>#REF!</v>
      </c>
      <c r="H170" s="41"/>
      <c r="K170" s="30" t="str">
        <f>"""GP"",""Ute Indian Tribe Membership Fund"",""aaa_contract_detail_sp"",""JRNENTRY"",""1612424"",""aaGLHdrID"",""1782035"",""aaGLDistID"",""19"",""aaGLAssignID"",""1"",""contract"",""3460 92 URHS FY2025"""</f>
        <v>"GP","Ute Indian Tribe Membership Fund","aaa_contract_detail_sp","JRNENTRY","1612424","aaGLHdrID","1782035","aaGLDistID","19","aaGLAssignID","1","contract","3460 92 URHS FY2025"</v>
      </c>
      <c r="L170" s="42">
        <v>45840</v>
      </c>
      <c r="M170" s="30">
        <v>1612424</v>
      </c>
      <c r="N170" s="30" t="str">
        <f>""</f>
        <v/>
      </c>
      <c r="O170" s="30" t="str">
        <f>""</f>
        <v/>
      </c>
      <c r="P170" s="30" t="str">
        <f>""</f>
        <v/>
      </c>
      <c r="Q170" s="43" t="str">
        <f>""</f>
        <v/>
      </c>
      <c r="R170" s="44">
        <v>936.31</v>
      </c>
      <c r="S170" s="44">
        <v>0</v>
      </c>
      <c r="T170" s="45">
        <f t="shared" si="10"/>
        <v>936.31</v>
      </c>
    </row>
    <row r="171" spans="1:20" s="30" customFormat="1" x14ac:dyDescent="0.25">
      <c r="A171" s="24" t="s">
        <v>24</v>
      </c>
      <c r="B171" s="40"/>
      <c r="C171" s="40"/>
      <c r="D171" s="24"/>
      <c r="E171" s="24"/>
      <c r="F171" s="40" t="e">
        <f t="shared" si="11"/>
        <v>#REF!</v>
      </c>
      <c r="G171" s="40" t="e">
        <f t="shared" si="11"/>
        <v>#REF!</v>
      </c>
      <c r="H171" s="41"/>
      <c r="K171" s="30" t="str">
        <f>"""GP"",""Ute Indian Tribe Membership Fund"",""aaa_contract_detail_sp"",""JRNENTRY"",""1612511"",""aaGLHdrID"",""1782121"",""aaGLDistID"",""18"",""aaGLAssignID"",""1"",""contract"",""3460 92 URHS FY2025"""</f>
        <v>"GP","Ute Indian Tribe Membership Fund","aaa_contract_detail_sp","JRNENTRY","1612511","aaGLHdrID","1782121","aaGLDistID","18","aaGLAssignID","1","contract","3460 92 URHS FY2025"</v>
      </c>
      <c r="L171" s="42">
        <v>45840</v>
      </c>
      <c r="M171" s="30">
        <v>1612511</v>
      </c>
      <c r="N171" s="30" t="str">
        <f>""</f>
        <v/>
      </c>
      <c r="O171" s="30" t="str">
        <f>""</f>
        <v/>
      </c>
      <c r="P171" s="30" t="str">
        <f>""</f>
        <v/>
      </c>
      <c r="Q171" s="43" t="str">
        <f>""</f>
        <v/>
      </c>
      <c r="R171" s="44">
        <v>700.47</v>
      </c>
      <c r="S171" s="44">
        <v>0</v>
      </c>
      <c r="T171" s="45">
        <f t="shared" si="10"/>
        <v>700.47</v>
      </c>
    </row>
    <row r="172" spans="1:20" s="30" customFormat="1" x14ac:dyDescent="0.25">
      <c r="A172" s="24" t="s">
        <v>24</v>
      </c>
      <c r="B172" s="40"/>
      <c r="C172" s="40"/>
      <c r="D172" s="24"/>
      <c r="E172" s="24"/>
      <c r="F172" s="40" t="e">
        <f t="shared" si="11"/>
        <v>#REF!</v>
      </c>
      <c r="G172" s="40" t="e">
        <f t="shared" si="11"/>
        <v>#REF!</v>
      </c>
      <c r="H172" s="41"/>
      <c r="K172" s="30" t="str">
        <f>"""GP"",""Ute Indian Tribe Membership Fund"",""aaa_contract_detail_sp"",""JRNENTRY"",""1612515"",""aaGLHdrID"",""1782125"",""aaGLDistID"",""19"",""aaGLAssignID"",""1"",""contract"",""3460 92 URHS FY2025"""</f>
        <v>"GP","Ute Indian Tribe Membership Fund","aaa_contract_detail_sp","JRNENTRY","1612515","aaGLHdrID","1782125","aaGLDistID","19","aaGLAssignID","1","contract","3460 92 URHS FY2025"</v>
      </c>
      <c r="L172" s="42">
        <v>45840</v>
      </c>
      <c r="M172" s="30">
        <v>1612515</v>
      </c>
      <c r="N172" s="30" t="str">
        <f>""</f>
        <v/>
      </c>
      <c r="O172" s="30" t="str">
        <f>""</f>
        <v/>
      </c>
      <c r="P172" s="30" t="str">
        <f>""</f>
        <v/>
      </c>
      <c r="Q172" s="43" t="str">
        <f>""</f>
        <v/>
      </c>
      <c r="R172" s="44">
        <v>936.31</v>
      </c>
      <c r="S172" s="44">
        <v>0</v>
      </c>
      <c r="T172" s="45">
        <f t="shared" si="10"/>
        <v>936.31</v>
      </c>
    </row>
    <row r="173" spans="1:20" s="30" customFormat="1" x14ac:dyDescent="0.25">
      <c r="A173" s="24" t="s">
        <v>24</v>
      </c>
      <c r="B173" s="40"/>
      <c r="C173" s="40"/>
      <c r="D173" s="24"/>
      <c r="E173" s="24"/>
      <c r="F173" s="40" t="e">
        <f t="shared" si="11"/>
        <v>#REF!</v>
      </c>
      <c r="G173" s="40" t="e">
        <f t="shared" si="11"/>
        <v>#REF!</v>
      </c>
      <c r="H173" s="41"/>
      <c r="K173" s="30" t="str">
        <f>"""GP"",""Ute Indian Tribe Membership Fund"",""aaa_contract_detail_sp"",""JRNENTRY"",""1612562"",""aaGLHdrID"",""1782172"",""aaGLDistID"",""17"",""aaGLAssignID"",""1"",""contract"",""3460 92 URHS FY2025"""</f>
        <v>"GP","Ute Indian Tribe Membership Fund","aaa_contract_detail_sp","JRNENTRY","1612562","aaGLHdrID","1782172","aaGLDistID","17","aaGLAssignID","1","contract","3460 92 URHS FY2025"</v>
      </c>
      <c r="L173" s="42">
        <v>45840</v>
      </c>
      <c r="M173" s="30">
        <v>1612562</v>
      </c>
      <c r="N173" s="30" t="str">
        <f>""</f>
        <v/>
      </c>
      <c r="O173" s="30" t="str">
        <f>""</f>
        <v/>
      </c>
      <c r="P173" s="30" t="str">
        <f>""</f>
        <v/>
      </c>
      <c r="Q173" s="43" t="str">
        <f>""</f>
        <v/>
      </c>
      <c r="R173" s="44">
        <v>700.47</v>
      </c>
      <c r="S173" s="44">
        <v>0</v>
      </c>
      <c r="T173" s="45">
        <f t="shared" si="10"/>
        <v>700.47</v>
      </c>
    </row>
    <row r="174" spans="1:20" s="30" customFormat="1" x14ac:dyDescent="0.25">
      <c r="A174" s="24" t="s">
        <v>24</v>
      </c>
      <c r="B174" s="40"/>
      <c r="C174" s="40"/>
      <c r="D174" s="24"/>
      <c r="E174" s="24"/>
      <c r="F174" s="40" t="e">
        <f t="shared" si="11"/>
        <v>#REF!</v>
      </c>
      <c r="G174" s="40" t="e">
        <f t="shared" si="11"/>
        <v>#REF!</v>
      </c>
      <c r="H174" s="41"/>
      <c r="K174" s="30" t="str">
        <f>"""GP"",""Ute Indian Tribe Membership Fund"",""aaa_contract_detail_sp"",""JRNENTRY"",""1612757"",""aaGLHdrID"",""1782367"",""aaGLDistID"",""15"",""aaGLAssignID"",""1"",""contract"",""3460 92 URHS FY2025"""</f>
        <v>"GP","Ute Indian Tribe Membership Fund","aaa_contract_detail_sp","JRNENTRY","1612757","aaGLHdrID","1782367","aaGLDistID","15","aaGLAssignID","1","contract","3460 92 URHS FY2025"</v>
      </c>
      <c r="L174" s="42">
        <v>45840</v>
      </c>
      <c r="M174" s="30">
        <v>1612757</v>
      </c>
      <c r="N174" s="30" t="str">
        <f>""</f>
        <v/>
      </c>
      <c r="O174" s="30" t="str">
        <f>""</f>
        <v/>
      </c>
      <c r="P174" s="30" t="str">
        <f>""</f>
        <v/>
      </c>
      <c r="Q174" s="43" t="str">
        <f>""</f>
        <v/>
      </c>
      <c r="R174" s="44">
        <v>936.31</v>
      </c>
      <c r="S174" s="44">
        <v>0</v>
      </c>
      <c r="T174" s="45">
        <f t="shared" si="10"/>
        <v>936.31</v>
      </c>
    </row>
    <row r="175" spans="1:20" s="30" customFormat="1" x14ac:dyDescent="0.25">
      <c r="A175" s="24" t="s">
        <v>24</v>
      </c>
      <c r="B175" s="40"/>
      <c r="C175" s="40"/>
      <c r="D175" s="24"/>
      <c r="E175" s="24"/>
      <c r="F175" s="40" t="e">
        <f t="shared" si="11"/>
        <v>#REF!</v>
      </c>
      <c r="G175" s="40" t="e">
        <f t="shared" si="11"/>
        <v>#REF!</v>
      </c>
      <c r="H175" s="41"/>
      <c r="K175" s="30" t="str">
        <f>"""GP"",""Ute Indian Tribe Membership Fund"",""aaa_contract_detail_sp"",""JRNENTRY"",""1612760"",""aaGLHdrID"",""1782370"",""aaGLDistID"",""18"",""aaGLAssignID"",""1"",""contract"",""3460 92 URHS FY2025"""</f>
        <v>"GP","Ute Indian Tribe Membership Fund","aaa_contract_detail_sp","JRNENTRY","1612760","aaGLHdrID","1782370","aaGLDistID","18","aaGLAssignID","1","contract","3460 92 URHS FY2025"</v>
      </c>
      <c r="L175" s="42">
        <v>45840</v>
      </c>
      <c r="M175" s="30">
        <v>1612760</v>
      </c>
      <c r="N175" s="30" t="str">
        <f>""</f>
        <v/>
      </c>
      <c r="O175" s="30" t="str">
        <f>""</f>
        <v/>
      </c>
      <c r="P175" s="30" t="str">
        <f>""</f>
        <v/>
      </c>
      <c r="Q175" s="43" t="str">
        <f>""</f>
        <v/>
      </c>
      <c r="R175" s="44">
        <v>936.31</v>
      </c>
      <c r="S175" s="44">
        <v>0</v>
      </c>
      <c r="T175" s="45">
        <f t="shared" si="10"/>
        <v>936.31</v>
      </c>
    </row>
    <row r="176" spans="1:20" s="30" customFormat="1" x14ac:dyDescent="0.25">
      <c r="A176" s="24" t="s">
        <v>24</v>
      </c>
      <c r="B176" s="40"/>
      <c r="C176" s="40"/>
      <c r="D176" s="24"/>
      <c r="E176" s="24"/>
      <c r="F176" s="40" t="e">
        <f t="shared" si="11"/>
        <v>#REF!</v>
      </c>
      <c r="G176" s="40" t="e">
        <f t="shared" si="11"/>
        <v>#REF!</v>
      </c>
      <c r="H176" s="41"/>
      <c r="K176" s="30" t="str">
        <f>"""GP"",""Ute Indian Tribe Membership Fund"",""aaa_contract_detail_sp"",""JRNENTRY"",""1614772"",""aaGLHdrID"",""1782645"",""aaGLDistID"",""18"",""aaGLAssignID"",""1"",""contract"",""3460 92 URHS FY2025"""</f>
        <v>"GP","Ute Indian Tribe Membership Fund","aaa_contract_detail_sp","JRNENTRY","1614772","aaGLHdrID","1782645","aaGLDistID","18","aaGLAssignID","1","contract","3460 92 URHS FY2025"</v>
      </c>
      <c r="L176" s="42">
        <v>45855</v>
      </c>
      <c r="M176" s="30">
        <v>1614772</v>
      </c>
      <c r="N176" s="30" t="str">
        <f>""</f>
        <v/>
      </c>
      <c r="O176" s="30" t="str">
        <f>""</f>
        <v/>
      </c>
      <c r="P176" s="30" t="str">
        <f>""</f>
        <v/>
      </c>
      <c r="Q176" s="43" t="str">
        <f>""</f>
        <v/>
      </c>
      <c r="R176" s="44">
        <v>700.47</v>
      </c>
      <c r="S176" s="44">
        <v>0</v>
      </c>
      <c r="T176" s="45">
        <f t="shared" si="10"/>
        <v>700.47</v>
      </c>
    </row>
    <row r="177" spans="1:20" s="30" customFormat="1" x14ac:dyDescent="0.25">
      <c r="A177" s="24" t="s">
        <v>24</v>
      </c>
      <c r="B177" s="40"/>
      <c r="C177" s="40"/>
      <c r="D177" s="24"/>
      <c r="E177" s="24"/>
      <c r="F177" s="40" t="e">
        <f t="shared" si="11"/>
        <v>#REF!</v>
      </c>
      <c r="G177" s="40" t="e">
        <f t="shared" si="11"/>
        <v>#REF!</v>
      </c>
      <c r="H177" s="41"/>
      <c r="K177" s="30" t="str">
        <f>"""GP"",""Ute Indian Tribe Membership Fund"",""aaa_contract_detail_sp"",""JRNENTRY"",""1614838"",""aaGLHdrID"",""1782711"",""aaGLDistID"",""19"",""aaGLAssignID"",""1"",""contract"",""3460 92 URHS FY2025"""</f>
        <v>"GP","Ute Indian Tribe Membership Fund","aaa_contract_detail_sp","JRNENTRY","1614838","aaGLHdrID","1782711","aaGLDistID","19","aaGLAssignID","1","contract","3460 92 URHS FY2025"</v>
      </c>
      <c r="L177" s="42">
        <v>45855</v>
      </c>
      <c r="M177" s="30">
        <v>1614838</v>
      </c>
      <c r="N177" s="30" t="str">
        <f>""</f>
        <v/>
      </c>
      <c r="O177" s="30" t="str">
        <f>""</f>
        <v/>
      </c>
      <c r="P177" s="30" t="str">
        <f>""</f>
        <v/>
      </c>
      <c r="Q177" s="43" t="str">
        <f>""</f>
        <v/>
      </c>
      <c r="R177" s="44">
        <v>936.31</v>
      </c>
      <c r="S177" s="44">
        <v>0</v>
      </c>
      <c r="T177" s="45">
        <f t="shared" si="10"/>
        <v>936.31</v>
      </c>
    </row>
    <row r="178" spans="1:20" s="30" customFormat="1" x14ac:dyDescent="0.25">
      <c r="A178" s="24" t="s">
        <v>24</v>
      </c>
      <c r="B178" s="40"/>
      <c r="C178" s="40"/>
      <c r="D178" s="24"/>
      <c r="E178" s="24"/>
      <c r="F178" s="40" t="e">
        <f t="shared" si="11"/>
        <v>#REF!</v>
      </c>
      <c r="G178" s="40" t="e">
        <f t="shared" si="11"/>
        <v>#REF!</v>
      </c>
      <c r="H178" s="41"/>
      <c r="K178" s="30" t="str">
        <f>"""GP"",""Ute Indian Tribe Membership Fund"",""aaa_contract_detail_sp"",""JRNENTRY"",""1614921"",""aaGLHdrID"",""1782794"",""aaGLDistID"",""19"",""aaGLAssignID"",""1"",""contract"",""3460 92 URHS FY2025"""</f>
        <v>"GP","Ute Indian Tribe Membership Fund","aaa_contract_detail_sp","JRNENTRY","1614921","aaGLHdrID","1782794","aaGLDistID","19","aaGLAssignID","1","contract","3460 92 URHS FY2025"</v>
      </c>
      <c r="L178" s="42">
        <v>45855</v>
      </c>
      <c r="M178" s="30">
        <v>1614921</v>
      </c>
      <c r="N178" s="30" t="str">
        <f>""</f>
        <v/>
      </c>
      <c r="O178" s="30" t="str">
        <f>""</f>
        <v/>
      </c>
      <c r="P178" s="30" t="str">
        <f>""</f>
        <v/>
      </c>
      <c r="Q178" s="43" t="str">
        <f>""</f>
        <v/>
      </c>
      <c r="R178" s="44">
        <v>700.47</v>
      </c>
      <c r="S178" s="44">
        <v>0</v>
      </c>
      <c r="T178" s="45">
        <f t="shared" si="10"/>
        <v>700.47</v>
      </c>
    </row>
    <row r="179" spans="1:20" s="30" customFormat="1" x14ac:dyDescent="0.25">
      <c r="A179" s="24" t="s">
        <v>24</v>
      </c>
      <c r="B179" s="40"/>
      <c r="C179" s="40"/>
      <c r="D179" s="24"/>
      <c r="E179" s="24"/>
      <c r="F179" s="40" t="e">
        <f t="shared" si="11"/>
        <v>#REF!</v>
      </c>
      <c r="G179" s="40" t="e">
        <f t="shared" si="11"/>
        <v>#REF!</v>
      </c>
      <c r="H179" s="41"/>
      <c r="K179" s="30" t="str">
        <f>"""GP"",""Ute Indian Tribe Membership Fund"",""aaa_contract_detail_sp"",""JRNENTRY"",""1614925"",""aaGLHdrID"",""1782798"",""aaGLDistID"",""20"",""aaGLAssignID"",""1"",""contract"",""3460 92 URHS FY2025"""</f>
        <v>"GP","Ute Indian Tribe Membership Fund","aaa_contract_detail_sp","JRNENTRY","1614925","aaGLHdrID","1782798","aaGLDistID","20","aaGLAssignID","1","contract","3460 92 URHS FY2025"</v>
      </c>
      <c r="L179" s="42">
        <v>45855</v>
      </c>
      <c r="M179" s="30">
        <v>1614925</v>
      </c>
      <c r="N179" s="30" t="str">
        <f>""</f>
        <v/>
      </c>
      <c r="O179" s="30" t="str">
        <f>""</f>
        <v/>
      </c>
      <c r="P179" s="30" t="str">
        <f>""</f>
        <v/>
      </c>
      <c r="Q179" s="43" t="str">
        <f>""</f>
        <v/>
      </c>
      <c r="R179" s="44">
        <v>936.31</v>
      </c>
      <c r="S179" s="44">
        <v>0</v>
      </c>
      <c r="T179" s="45">
        <f t="shared" si="10"/>
        <v>936.31</v>
      </c>
    </row>
    <row r="180" spans="1:20" s="30" customFormat="1" x14ac:dyDescent="0.25">
      <c r="A180" s="24" t="s">
        <v>24</v>
      </c>
      <c r="B180" s="40"/>
      <c r="C180" s="40"/>
      <c r="D180" s="24"/>
      <c r="E180" s="24"/>
      <c r="F180" s="40" t="e">
        <f t="shared" si="11"/>
        <v>#REF!</v>
      </c>
      <c r="G180" s="40" t="e">
        <f t="shared" si="11"/>
        <v>#REF!</v>
      </c>
      <c r="H180" s="41"/>
      <c r="K180" s="30" t="str">
        <f>"""GP"",""Ute Indian Tribe Membership Fund"",""aaa_contract_detail_sp"",""JRNENTRY"",""1615066"",""aaGLHdrID"",""1782939"",""aaGLDistID"",""18"",""aaGLAssignID"",""1"",""contract"",""3460 92 URHS FY2025"""</f>
        <v>"GP","Ute Indian Tribe Membership Fund","aaa_contract_detail_sp","JRNENTRY","1615066","aaGLHdrID","1782939","aaGLDistID","18","aaGLAssignID","1","contract","3460 92 URHS FY2025"</v>
      </c>
      <c r="L180" s="42">
        <v>45855</v>
      </c>
      <c r="M180" s="30">
        <v>1615066</v>
      </c>
      <c r="N180" s="30" t="str">
        <f>""</f>
        <v/>
      </c>
      <c r="O180" s="30" t="str">
        <f>""</f>
        <v/>
      </c>
      <c r="P180" s="30" t="str">
        <f>""</f>
        <v/>
      </c>
      <c r="Q180" s="43" t="str">
        <f>""</f>
        <v/>
      </c>
      <c r="R180" s="44">
        <v>700.47</v>
      </c>
      <c r="S180" s="44">
        <v>0</v>
      </c>
      <c r="T180" s="45">
        <f t="shared" si="10"/>
        <v>700.47</v>
      </c>
    </row>
    <row r="181" spans="1:20" s="30" customFormat="1" x14ac:dyDescent="0.25">
      <c r="A181" s="24" t="s">
        <v>24</v>
      </c>
      <c r="B181" s="40"/>
      <c r="C181" s="40"/>
      <c r="D181" s="24"/>
      <c r="E181" s="24"/>
      <c r="F181" s="40" t="e">
        <f t="shared" si="11"/>
        <v>#REF!</v>
      </c>
      <c r="G181" s="40" t="e">
        <f t="shared" si="11"/>
        <v>#REF!</v>
      </c>
      <c r="H181" s="41"/>
      <c r="K181" s="30" t="str">
        <f>"""GP"",""Ute Indian Tribe Membership Fund"",""aaa_contract_detail_sp"",""JRNENTRY"",""1615163"",""aaGLHdrID"",""1783036"",""aaGLDistID"",""16"",""aaGLAssignID"",""1"",""contract"",""3460 92 URHS FY2025"""</f>
        <v>"GP","Ute Indian Tribe Membership Fund","aaa_contract_detail_sp","JRNENTRY","1615163","aaGLHdrID","1783036","aaGLDistID","16","aaGLAssignID","1","contract","3460 92 URHS FY2025"</v>
      </c>
      <c r="L181" s="42">
        <v>45855</v>
      </c>
      <c r="M181" s="30">
        <v>1615163</v>
      </c>
      <c r="N181" s="30" t="str">
        <f>""</f>
        <v/>
      </c>
      <c r="O181" s="30" t="str">
        <f>""</f>
        <v/>
      </c>
      <c r="P181" s="30" t="str">
        <f>""</f>
        <v/>
      </c>
      <c r="Q181" s="43" t="str">
        <f>""</f>
        <v/>
      </c>
      <c r="R181" s="44">
        <v>936.31</v>
      </c>
      <c r="S181" s="44">
        <v>0</v>
      </c>
      <c r="T181" s="45">
        <f t="shared" si="10"/>
        <v>936.31</v>
      </c>
    </row>
    <row r="182" spans="1:20" s="30" customFormat="1" x14ac:dyDescent="0.25">
      <c r="A182" s="24" t="s">
        <v>24</v>
      </c>
      <c r="B182" s="40"/>
      <c r="C182" s="40"/>
      <c r="D182" s="24"/>
      <c r="E182" s="24"/>
      <c r="F182" s="40" t="e">
        <f t="shared" si="11"/>
        <v>#REF!</v>
      </c>
      <c r="G182" s="40" t="e">
        <f t="shared" si="11"/>
        <v>#REF!</v>
      </c>
      <c r="H182" s="41"/>
      <c r="K182" s="30" t="str">
        <f>"""GP"",""Ute Indian Tribe Membership Fund"",""aaa_contract_detail_sp"",""JRNENTRY"",""1615166"",""aaGLHdrID"",""1783039"",""aaGLDistID"",""19"",""aaGLAssignID"",""1"",""contract"",""3460 92 URHS FY2025"""</f>
        <v>"GP","Ute Indian Tribe Membership Fund","aaa_contract_detail_sp","JRNENTRY","1615166","aaGLHdrID","1783039","aaGLDistID","19","aaGLAssignID","1","contract","3460 92 URHS FY2025"</v>
      </c>
      <c r="L182" s="42">
        <v>45855</v>
      </c>
      <c r="M182" s="30">
        <v>1615166</v>
      </c>
      <c r="N182" s="30" t="str">
        <f>""</f>
        <v/>
      </c>
      <c r="O182" s="30" t="str">
        <f>""</f>
        <v/>
      </c>
      <c r="P182" s="30" t="str">
        <f>""</f>
        <v/>
      </c>
      <c r="Q182" s="43" t="str">
        <f>""</f>
        <v/>
      </c>
      <c r="R182" s="44">
        <v>936.31</v>
      </c>
      <c r="S182" s="44">
        <v>0</v>
      </c>
      <c r="T182" s="45">
        <f t="shared" si="10"/>
        <v>936.31</v>
      </c>
    </row>
    <row r="183" spans="1:20" s="30" customFormat="1" x14ac:dyDescent="0.25">
      <c r="A183" s="24" t="s">
        <v>24</v>
      </c>
      <c r="B183" s="40"/>
      <c r="C183" s="40"/>
      <c r="D183" s="24"/>
      <c r="E183" s="24"/>
      <c r="F183" s="40" t="e">
        <f t="shared" si="11"/>
        <v>#REF!</v>
      </c>
      <c r="G183" s="40" t="e">
        <f t="shared" si="11"/>
        <v>#REF!</v>
      </c>
      <c r="H183" s="41"/>
      <c r="K183" s="30" t="str">
        <f>"""GP"",""Ute Indian Tribe Membership Fund"",""aaa_contract_detail_sp"",""JRNENTRY"",""1616675"",""aaGLHdrID"",""1784523"",""aaGLDistID"",""18"",""aaGLAssignID"",""1"",""contract"",""3460 92 URHS FY2025"""</f>
        <v>"GP","Ute Indian Tribe Membership Fund","aaa_contract_detail_sp","JRNENTRY","1616675","aaGLHdrID","1784523","aaGLDistID","18","aaGLAssignID","1","contract","3460 92 URHS FY2025"</v>
      </c>
      <c r="L183" s="42">
        <v>45869</v>
      </c>
      <c r="M183" s="30">
        <v>1616675</v>
      </c>
      <c r="N183" s="30" t="str">
        <f>""</f>
        <v/>
      </c>
      <c r="O183" s="30" t="str">
        <f>""</f>
        <v/>
      </c>
      <c r="P183" s="30" t="str">
        <f>""</f>
        <v/>
      </c>
      <c r="Q183" s="43" t="str">
        <f>""</f>
        <v/>
      </c>
      <c r="R183" s="44">
        <v>689.84</v>
      </c>
      <c r="S183" s="44">
        <v>0</v>
      </c>
      <c r="T183" s="45">
        <f t="shared" si="10"/>
        <v>689.84</v>
      </c>
    </row>
    <row r="184" spans="1:20" s="30" customFormat="1" x14ac:dyDescent="0.25">
      <c r="A184" s="24" t="s">
        <v>24</v>
      </c>
      <c r="B184" s="40"/>
      <c r="C184" s="40"/>
      <c r="D184" s="24"/>
      <c r="E184" s="24"/>
      <c r="F184" s="40" t="e">
        <f t="shared" si="11"/>
        <v>#REF!</v>
      </c>
      <c r="G184" s="40" t="e">
        <f t="shared" si="11"/>
        <v>#REF!</v>
      </c>
      <c r="H184" s="41"/>
      <c r="K184" s="30" t="str">
        <f>"""GP"",""Ute Indian Tribe Membership Fund"",""aaa_contract_detail_sp"",""JRNENTRY"",""1616741"",""aaGLHdrID"",""1784589"",""aaGLDistID"",""19"",""aaGLAssignID"",""1"",""contract"",""3460 92 URHS FY2025"""</f>
        <v>"GP","Ute Indian Tribe Membership Fund","aaa_contract_detail_sp","JRNENTRY","1616741","aaGLHdrID","1784589","aaGLDistID","19","aaGLAssignID","1","contract","3460 92 URHS FY2025"</v>
      </c>
      <c r="L184" s="42">
        <v>45869</v>
      </c>
      <c r="M184" s="30">
        <v>1616741</v>
      </c>
      <c r="N184" s="30" t="str">
        <f>""</f>
        <v/>
      </c>
      <c r="O184" s="30" t="str">
        <f>""</f>
        <v/>
      </c>
      <c r="P184" s="30" t="str">
        <f>""</f>
        <v/>
      </c>
      <c r="Q184" s="43" t="str">
        <f>""</f>
        <v/>
      </c>
      <c r="R184" s="44">
        <v>928.69</v>
      </c>
      <c r="S184" s="44">
        <v>0</v>
      </c>
      <c r="T184" s="45">
        <f t="shared" si="10"/>
        <v>928.69</v>
      </c>
    </row>
    <row r="185" spans="1:20" s="30" customFormat="1" x14ac:dyDescent="0.25">
      <c r="A185" s="24" t="s">
        <v>24</v>
      </c>
      <c r="B185" s="40"/>
      <c r="C185" s="40"/>
      <c r="D185" s="24"/>
      <c r="E185" s="24"/>
      <c r="F185" s="40" t="e">
        <f t="shared" si="11"/>
        <v>#REF!</v>
      </c>
      <c r="G185" s="40" t="e">
        <f t="shared" si="11"/>
        <v>#REF!</v>
      </c>
      <c r="H185" s="41"/>
      <c r="K185" s="30" t="str">
        <f>"""GP"",""Ute Indian Tribe Membership Fund"",""aaa_contract_detail_sp"",""JRNENTRY"",""1616826"",""aaGLHdrID"",""1784674"",""aaGLDistID"",""18"",""aaGLAssignID"",""1"",""contract"",""3460 92 URHS FY2025"""</f>
        <v>"GP","Ute Indian Tribe Membership Fund","aaa_contract_detail_sp","JRNENTRY","1616826","aaGLHdrID","1784674","aaGLDistID","18","aaGLAssignID","1","contract","3460 92 URHS FY2025"</v>
      </c>
      <c r="L185" s="42">
        <v>45869</v>
      </c>
      <c r="M185" s="30">
        <v>1616826</v>
      </c>
      <c r="N185" s="30" t="str">
        <f>""</f>
        <v/>
      </c>
      <c r="O185" s="30" t="str">
        <f>""</f>
        <v/>
      </c>
      <c r="P185" s="30" t="str">
        <f>""</f>
        <v/>
      </c>
      <c r="Q185" s="43" t="str">
        <f>""</f>
        <v/>
      </c>
      <c r="R185" s="44">
        <v>689.84</v>
      </c>
      <c r="S185" s="44">
        <v>0</v>
      </c>
      <c r="T185" s="45">
        <f t="shared" si="10"/>
        <v>689.84</v>
      </c>
    </row>
    <row r="186" spans="1:20" s="30" customFormat="1" x14ac:dyDescent="0.25">
      <c r="A186" s="24" t="s">
        <v>24</v>
      </c>
      <c r="B186" s="40"/>
      <c r="C186" s="40"/>
      <c r="D186" s="24"/>
      <c r="E186" s="24"/>
      <c r="F186" s="40" t="e">
        <f t="shared" si="11"/>
        <v>#REF!</v>
      </c>
      <c r="G186" s="40" t="e">
        <f t="shared" si="11"/>
        <v>#REF!</v>
      </c>
      <c r="H186" s="41"/>
      <c r="K186" s="30" t="str">
        <f>"""GP"",""Ute Indian Tribe Membership Fund"",""aaa_contract_detail_sp"",""JRNENTRY"",""1616830"",""aaGLHdrID"",""1784678"",""aaGLDistID"",""19"",""aaGLAssignID"",""1"",""contract"",""3460 92 URHS FY2025"""</f>
        <v>"GP","Ute Indian Tribe Membership Fund","aaa_contract_detail_sp","JRNENTRY","1616830","aaGLHdrID","1784678","aaGLDistID","19","aaGLAssignID","1","contract","3460 92 URHS FY2025"</v>
      </c>
      <c r="L186" s="42">
        <v>45869</v>
      </c>
      <c r="M186" s="30">
        <v>1616830</v>
      </c>
      <c r="N186" s="30" t="str">
        <f>""</f>
        <v/>
      </c>
      <c r="O186" s="30" t="str">
        <f>""</f>
        <v/>
      </c>
      <c r="P186" s="30" t="str">
        <f>""</f>
        <v/>
      </c>
      <c r="Q186" s="43" t="str">
        <f>""</f>
        <v/>
      </c>
      <c r="R186" s="44">
        <v>928.69</v>
      </c>
      <c r="S186" s="44">
        <v>0</v>
      </c>
      <c r="T186" s="45">
        <f t="shared" si="10"/>
        <v>928.69</v>
      </c>
    </row>
    <row r="187" spans="1:20" s="30" customFormat="1" x14ac:dyDescent="0.25">
      <c r="A187" s="24" t="s">
        <v>24</v>
      </c>
      <c r="B187" s="40"/>
      <c r="C187" s="40"/>
      <c r="D187" s="24"/>
      <c r="E187" s="24"/>
      <c r="F187" s="40" t="e">
        <f t="shared" si="11"/>
        <v>#REF!</v>
      </c>
      <c r="G187" s="40" t="e">
        <f t="shared" si="11"/>
        <v>#REF!</v>
      </c>
      <c r="H187" s="41"/>
      <c r="K187" s="30" t="str">
        <f>"""GP"",""Ute Indian Tribe Membership Fund"",""aaa_contract_detail_sp"",""JRNENTRY"",""1616979"",""aaGLHdrID"",""1784827"",""aaGLDistID"",""18"",""aaGLAssignID"",""1"",""contract"",""3460 92 URHS FY2025"""</f>
        <v>"GP","Ute Indian Tribe Membership Fund","aaa_contract_detail_sp","JRNENTRY","1616979","aaGLHdrID","1784827","aaGLDistID","18","aaGLAssignID","1","contract","3460 92 URHS FY2025"</v>
      </c>
      <c r="L187" s="42">
        <v>45869</v>
      </c>
      <c r="M187" s="30">
        <v>1616979</v>
      </c>
      <c r="N187" s="30" t="str">
        <f>""</f>
        <v/>
      </c>
      <c r="O187" s="30" t="str">
        <f>""</f>
        <v/>
      </c>
      <c r="P187" s="30" t="str">
        <f>""</f>
        <v/>
      </c>
      <c r="Q187" s="43" t="str">
        <f>""</f>
        <v/>
      </c>
      <c r="R187" s="44">
        <v>689.84</v>
      </c>
      <c r="S187" s="44">
        <v>0</v>
      </c>
      <c r="T187" s="45">
        <f t="shared" si="10"/>
        <v>689.84</v>
      </c>
    </row>
    <row r="188" spans="1:20" s="30" customFormat="1" x14ac:dyDescent="0.25">
      <c r="A188" s="24" t="s">
        <v>24</v>
      </c>
      <c r="B188" s="40"/>
      <c r="C188" s="40"/>
      <c r="D188" s="24"/>
      <c r="E188" s="24"/>
      <c r="F188" s="40" t="e">
        <f t="shared" si="11"/>
        <v>#REF!</v>
      </c>
      <c r="G188" s="40" t="e">
        <f t="shared" si="11"/>
        <v>#REF!</v>
      </c>
      <c r="H188" s="41"/>
      <c r="K188" s="30" t="str">
        <f>"""GP"",""Ute Indian Tribe Membership Fund"",""aaa_contract_detail_sp"",""JRNENTRY"",""1617083"",""aaGLHdrID"",""1784931"",""aaGLDistID"",""15"",""aaGLAssignID"",""1"",""contract"",""3460 92 URHS FY2025"""</f>
        <v>"GP","Ute Indian Tribe Membership Fund","aaa_contract_detail_sp","JRNENTRY","1617083","aaGLHdrID","1784931","aaGLDistID","15","aaGLAssignID","1","contract","3460 92 URHS FY2025"</v>
      </c>
      <c r="L188" s="42">
        <v>45869</v>
      </c>
      <c r="M188" s="30">
        <v>1617083</v>
      </c>
      <c r="N188" s="30" t="str">
        <f>""</f>
        <v/>
      </c>
      <c r="O188" s="30" t="str">
        <f>""</f>
        <v/>
      </c>
      <c r="P188" s="30" t="str">
        <f>""</f>
        <v/>
      </c>
      <c r="Q188" s="43" t="str">
        <f>""</f>
        <v/>
      </c>
      <c r="R188" s="44">
        <v>928.69</v>
      </c>
      <c r="S188" s="44">
        <v>0</v>
      </c>
      <c r="T188" s="45">
        <f t="shared" si="10"/>
        <v>928.69</v>
      </c>
    </row>
    <row r="189" spans="1:20" s="30" customFormat="1" x14ac:dyDescent="0.25">
      <c r="A189" s="24" t="s">
        <v>24</v>
      </c>
      <c r="B189" s="40"/>
      <c r="C189" s="40"/>
      <c r="D189" s="24"/>
      <c r="E189" s="24"/>
      <c r="F189" s="40" t="e">
        <f t="shared" ref="F189:G196" si="12">F188</f>
        <v>#REF!</v>
      </c>
      <c r="G189" s="40" t="e">
        <f t="shared" si="12"/>
        <v>#REF!</v>
      </c>
      <c r="H189" s="41"/>
      <c r="K189" s="30" t="str">
        <f>"""GP"",""Ute Indian Tribe Membership Fund"",""aaa_contract_detail_sp"",""JRNENTRY"",""1617086"",""aaGLHdrID"",""1784934"",""aaGLDistID"",""18"",""aaGLAssignID"",""1"",""contract"",""3460 92 URHS FY2025"""</f>
        <v>"GP","Ute Indian Tribe Membership Fund","aaa_contract_detail_sp","JRNENTRY","1617086","aaGLHdrID","1784934","aaGLDistID","18","aaGLAssignID","1","contract","3460 92 URHS FY2025"</v>
      </c>
      <c r="L189" s="42">
        <v>45869</v>
      </c>
      <c r="M189" s="30">
        <v>1617086</v>
      </c>
      <c r="N189" s="30" t="str">
        <f>""</f>
        <v/>
      </c>
      <c r="O189" s="30" t="str">
        <f>""</f>
        <v/>
      </c>
      <c r="P189" s="30" t="str">
        <f>""</f>
        <v/>
      </c>
      <c r="Q189" s="43" t="str">
        <f>""</f>
        <v/>
      </c>
      <c r="R189" s="44">
        <v>928.69</v>
      </c>
      <c r="S189" s="44">
        <v>0</v>
      </c>
      <c r="T189" s="45">
        <f t="shared" si="10"/>
        <v>928.69</v>
      </c>
    </row>
    <row r="190" spans="1:20" s="30" customFormat="1" x14ac:dyDescent="0.25">
      <c r="A190" s="24" t="s">
        <v>24</v>
      </c>
      <c r="B190" s="40"/>
      <c r="C190" s="40"/>
      <c r="D190" s="24"/>
      <c r="E190" s="24"/>
      <c r="F190" s="40" t="e">
        <f t="shared" si="12"/>
        <v>#REF!</v>
      </c>
      <c r="G190" s="40" t="e">
        <f t="shared" si="12"/>
        <v>#REF!</v>
      </c>
      <c r="H190" s="41"/>
      <c r="K190" s="30" t="str">
        <f>"""GP"",""Ute Indian Tribe Membership Fund"",""aaa_contract_detail_sp"",""JRNENTRY"",""1619591"",""aaGLHdrID"",""1787735"",""aaGLDistID"",""18"",""aaGLAssignID"",""1"",""contract"",""3460 92 URHS FY2025"""</f>
        <v>"GP","Ute Indian Tribe Membership Fund","aaa_contract_detail_sp","JRNENTRY","1619591","aaGLHdrID","1787735","aaGLDistID","18","aaGLAssignID","1","contract","3460 92 URHS FY2025"</v>
      </c>
      <c r="L190" s="42">
        <v>45883</v>
      </c>
      <c r="M190" s="30">
        <v>1619591</v>
      </c>
      <c r="N190" s="30" t="str">
        <f>""</f>
        <v/>
      </c>
      <c r="O190" s="30" t="str">
        <f>""</f>
        <v/>
      </c>
      <c r="P190" s="30" t="str">
        <f>""</f>
        <v/>
      </c>
      <c r="Q190" s="43" t="str">
        <f>""</f>
        <v/>
      </c>
      <c r="R190" s="44">
        <v>689.84</v>
      </c>
      <c r="S190" s="44">
        <v>0</v>
      </c>
      <c r="T190" s="45">
        <f t="shared" si="10"/>
        <v>689.84</v>
      </c>
    </row>
    <row r="191" spans="1:20" s="30" customFormat="1" x14ac:dyDescent="0.25">
      <c r="A191" s="24" t="s">
        <v>24</v>
      </c>
      <c r="B191" s="40"/>
      <c r="C191" s="40"/>
      <c r="D191" s="24"/>
      <c r="E191" s="24"/>
      <c r="F191" s="40" t="e">
        <f t="shared" si="12"/>
        <v>#REF!</v>
      </c>
      <c r="G191" s="40" t="e">
        <f t="shared" si="12"/>
        <v>#REF!</v>
      </c>
      <c r="H191" s="41"/>
      <c r="K191" s="30" t="str">
        <f>"""GP"",""Ute Indian Tribe Membership Fund"",""aaa_contract_detail_sp"",""JRNENTRY"",""1619659"",""aaGLHdrID"",""1787803"",""aaGLDistID"",""19"",""aaGLAssignID"",""1"",""contract"",""3460 92 URHS FY2025"""</f>
        <v>"GP","Ute Indian Tribe Membership Fund","aaa_contract_detail_sp","JRNENTRY","1619659","aaGLHdrID","1787803","aaGLDistID","19","aaGLAssignID","1","contract","3460 92 URHS FY2025"</v>
      </c>
      <c r="L191" s="42">
        <v>45883</v>
      </c>
      <c r="M191" s="30">
        <v>1619659</v>
      </c>
      <c r="N191" s="30" t="str">
        <f>""</f>
        <v/>
      </c>
      <c r="O191" s="30" t="str">
        <f>""</f>
        <v/>
      </c>
      <c r="P191" s="30" t="str">
        <f>""</f>
        <v/>
      </c>
      <c r="Q191" s="43" t="str">
        <f>""</f>
        <v/>
      </c>
      <c r="R191" s="44">
        <v>928.69</v>
      </c>
      <c r="S191" s="44">
        <v>0</v>
      </c>
      <c r="T191" s="45">
        <f t="shared" si="10"/>
        <v>928.69</v>
      </c>
    </row>
    <row r="192" spans="1:20" s="30" customFormat="1" x14ac:dyDescent="0.25">
      <c r="A192" s="24" t="s">
        <v>24</v>
      </c>
      <c r="B192" s="40"/>
      <c r="C192" s="40"/>
      <c r="D192" s="24"/>
      <c r="E192" s="24"/>
      <c r="F192" s="40" t="e">
        <f t="shared" si="12"/>
        <v>#REF!</v>
      </c>
      <c r="G192" s="40" t="e">
        <f t="shared" si="12"/>
        <v>#REF!</v>
      </c>
      <c r="H192" s="41"/>
      <c r="K192" s="30" t="str">
        <f>"""GP"",""Ute Indian Tribe Membership Fund"",""aaa_contract_detail_sp"",""JRNENTRY"",""1619745"",""aaGLHdrID"",""1787889"",""aaGLDistID"",""18"",""aaGLAssignID"",""1"",""contract"",""3460 92 URHS FY2025"""</f>
        <v>"GP","Ute Indian Tribe Membership Fund","aaa_contract_detail_sp","JRNENTRY","1619745","aaGLHdrID","1787889","aaGLDistID","18","aaGLAssignID","1","contract","3460 92 URHS FY2025"</v>
      </c>
      <c r="L192" s="42">
        <v>45883</v>
      </c>
      <c r="M192" s="30">
        <v>1619745</v>
      </c>
      <c r="N192" s="30" t="str">
        <f>""</f>
        <v/>
      </c>
      <c r="O192" s="30" t="str">
        <f>""</f>
        <v/>
      </c>
      <c r="P192" s="30" t="str">
        <f>""</f>
        <v/>
      </c>
      <c r="Q192" s="43" t="str">
        <f>""</f>
        <v/>
      </c>
      <c r="R192" s="44">
        <v>689.84</v>
      </c>
      <c r="S192" s="44">
        <v>0</v>
      </c>
      <c r="T192" s="45">
        <f t="shared" si="10"/>
        <v>689.84</v>
      </c>
    </row>
    <row r="193" spans="1:20" s="30" customFormat="1" x14ac:dyDescent="0.25">
      <c r="A193" s="24" t="s">
        <v>24</v>
      </c>
      <c r="B193" s="40"/>
      <c r="C193" s="40"/>
      <c r="D193" s="24"/>
      <c r="E193" s="24"/>
      <c r="F193" s="40" t="e">
        <f t="shared" si="12"/>
        <v>#REF!</v>
      </c>
      <c r="G193" s="40" t="e">
        <f t="shared" si="12"/>
        <v>#REF!</v>
      </c>
      <c r="H193" s="41"/>
      <c r="K193" s="30" t="str">
        <f>"""GP"",""Ute Indian Tribe Membership Fund"",""aaa_contract_detail_sp"",""JRNENTRY"",""1619749"",""aaGLHdrID"",""1787893"",""aaGLDistID"",""19"",""aaGLAssignID"",""1"",""contract"",""3460 92 URHS FY2025"""</f>
        <v>"GP","Ute Indian Tribe Membership Fund","aaa_contract_detail_sp","JRNENTRY","1619749","aaGLHdrID","1787893","aaGLDistID","19","aaGLAssignID","1","contract","3460 92 URHS FY2025"</v>
      </c>
      <c r="L193" s="42">
        <v>45883</v>
      </c>
      <c r="M193" s="30">
        <v>1619749</v>
      </c>
      <c r="N193" s="30" t="str">
        <f>""</f>
        <v/>
      </c>
      <c r="O193" s="30" t="str">
        <f>""</f>
        <v/>
      </c>
      <c r="P193" s="30" t="str">
        <f>""</f>
        <v/>
      </c>
      <c r="Q193" s="43" t="str">
        <f>""</f>
        <v/>
      </c>
      <c r="R193" s="44">
        <v>928.69</v>
      </c>
      <c r="S193" s="44">
        <v>0</v>
      </c>
      <c r="T193" s="45">
        <f t="shared" si="10"/>
        <v>928.69</v>
      </c>
    </row>
    <row r="194" spans="1:20" s="30" customFormat="1" x14ac:dyDescent="0.25">
      <c r="A194" s="24" t="s">
        <v>24</v>
      </c>
      <c r="B194" s="40"/>
      <c r="C194" s="40"/>
      <c r="D194" s="24"/>
      <c r="E194" s="24"/>
      <c r="F194" s="40" t="e">
        <f t="shared" si="12"/>
        <v>#REF!</v>
      </c>
      <c r="G194" s="40" t="e">
        <f t="shared" si="12"/>
        <v>#REF!</v>
      </c>
      <c r="H194" s="41"/>
      <c r="K194" s="30" t="str">
        <f>"""GP"",""Ute Indian Tribe Membership Fund"",""aaa_contract_detail_sp"",""JRNENTRY"",""1619875"",""aaGLHdrID"",""1788019"",""aaGLDistID"",""20"",""aaGLAssignID"",""1"",""contract"",""3460 92 URHS FY2025"""</f>
        <v>"GP","Ute Indian Tribe Membership Fund","aaa_contract_detail_sp","JRNENTRY","1619875","aaGLHdrID","1788019","aaGLDistID","20","aaGLAssignID","1","contract","3460 92 URHS FY2025"</v>
      </c>
      <c r="L194" s="42">
        <v>45883</v>
      </c>
      <c r="M194" s="30">
        <v>1619875</v>
      </c>
      <c r="N194" s="30" t="str">
        <f>""</f>
        <v/>
      </c>
      <c r="O194" s="30" t="str">
        <f>""</f>
        <v/>
      </c>
      <c r="P194" s="30" t="str">
        <f>""</f>
        <v/>
      </c>
      <c r="Q194" s="43" t="str">
        <f>""</f>
        <v/>
      </c>
      <c r="R194" s="44">
        <v>689.84</v>
      </c>
      <c r="S194" s="44">
        <v>0</v>
      </c>
      <c r="T194" s="45">
        <f t="shared" si="10"/>
        <v>689.84</v>
      </c>
    </row>
    <row r="195" spans="1:20" s="30" customFormat="1" x14ac:dyDescent="0.25">
      <c r="A195" s="24" t="s">
        <v>24</v>
      </c>
      <c r="B195" s="40"/>
      <c r="C195" s="40"/>
      <c r="D195" s="24"/>
      <c r="E195" s="24"/>
      <c r="F195" s="40" t="e">
        <f t="shared" si="12"/>
        <v>#REF!</v>
      </c>
      <c r="G195" s="40" t="e">
        <f t="shared" si="12"/>
        <v>#REF!</v>
      </c>
      <c r="H195" s="41"/>
      <c r="K195" s="30" t="str">
        <f>"""GP"",""Ute Indian Tribe Membership Fund"",""aaa_contract_detail_sp"",""JRNENTRY"",""1619975"",""aaGLHdrID"",""1788119"",""aaGLDistID"",""15"",""aaGLAssignID"",""1"",""contract"",""3460 92 URHS FY2025"""</f>
        <v>"GP","Ute Indian Tribe Membership Fund","aaa_contract_detail_sp","JRNENTRY","1619975","aaGLHdrID","1788119","aaGLDistID","15","aaGLAssignID","1","contract","3460 92 URHS FY2025"</v>
      </c>
      <c r="L195" s="42">
        <v>45883</v>
      </c>
      <c r="M195" s="30">
        <v>1619975</v>
      </c>
      <c r="N195" s="30" t="str">
        <f>""</f>
        <v/>
      </c>
      <c r="O195" s="30" t="str">
        <f>""</f>
        <v/>
      </c>
      <c r="P195" s="30" t="str">
        <f>""</f>
        <v/>
      </c>
      <c r="Q195" s="43" t="str">
        <f>""</f>
        <v/>
      </c>
      <c r="R195" s="44">
        <v>928.69</v>
      </c>
      <c r="S195" s="44">
        <v>0</v>
      </c>
      <c r="T195" s="45">
        <f t="shared" si="10"/>
        <v>928.69</v>
      </c>
    </row>
    <row r="196" spans="1:20" s="30" customFormat="1" x14ac:dyDescent="0.25">
      <c r="A196" s="24" t="s">
        <v>24</v>
      </c>
      <c r="B196" s="40"/>
      <c r="C196" s="40"/>
      <c r="D196" s="24"/>
      <c r="E196" s="24"/>
      <c r="F196" s="40" t="e">
        <f t="shared" si="12"/>
        <v>#REF!</v>
      </c>
      <c r="G196" s="40" t="e">
        <f t="shared" si="12"/>
        <v>#REF!</v>
      </c>
      <c r="H196" s="41"/>
      <c r="K196" s="30" t="str">
        <f>"""GP"",""Ute Indian Tribe Membership Fund"",""aaa_contract_detail_sp"",""JRNENTRY"",""1619979"",""aaGLHdrID"",""1788123"",""aaGLDistID"",""18"",""aaGLAssignID"",""1"",""contract"",""3460 92 URHS FY2025"""</f>
        <v>"GP","Ute Indian Tribe Membership Fund","aaa_contract_detail_sp","JRNENTRY","1619979","aaGLHdrID","1788123","aaGLDistID","18","aaGLAssignID","1","contract","3460 92 URHS FY2025"</v>
      </c>
      <c r="L196" s="42">
        <v>45883</v>
      </c>
      <c r="M196" s="30">
        <v>1619979</v>
      </c>
      <c r="N196" s="30" t="str">
        <f>""</f>
        <v/>
      </c>
      <c r="O196" s="30" t="str">
        <f>""</f>
        <v/>
      </c>
      <c r="P196" s="30" t="str">
        <f>""</f>
        <v/>
      </c>
      <c r="Q196" s="43" t="str">
        <f>""</f>
        <v/>
      </c>
      <c r="R196" s="44">
        <v>928.69</v>
      </c>
      <c r="S196" s="44">
        <v>0</v>
      </c>
      <c r="T196" s="45">
        <f t="shared" si="10"/>
        <v>928.69</v>
      </c>
    </row>
    <row r="197" spans="1:20" s="30" customFormat="1" ht="12.75" x14ac:dyDescent="0.2">
      <c r="A197" s="24" t="s">
        <v>24</v>
      </c>
      <c r="B197" s="40"/>
      <c r="C197" s="40"/>
      <c r="D197" s="24"/>
      <c r="E197" s="24"/>
      <c r="F197" s="40" t="e">
        <f>#REF!</f>
        <v>#REF!</v>
      </c>
      <c r="G197" s="40" t="e">
        <f>#REF!</f>
        <v>#REF!</v>
      </c>
      <c r="H197" s="41"/>
    </row>
    <row r="198" spans="1:20" s="30" customFormat="1" ht="12.75" x14ac:dyDescent="0.2">
      <c r="A198" s="24" t="s">
        <v>24</v>
      </c>
      <c r="B198" s="24"/>
      <c r="C198" s="24"/>
      <c r="D198" s="24"/>
      <c r="E198" s="24"/>
      <c r="F198" s="24"/>
      <c r="G198" s="24"/>
      <c r="H198" s="29"/>
      <c r="I198" s="53" t="str">
        <f>I168&amp;"   "&amp;J168&amp;"         Total:"</f>
        <v>5021-0-6115-3460   Fringe Benefits - Health and Life Insurance         Total:</v>
      </c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46">
        <f>SUBTOTAL(9,T169:T197)</f>
        <v>23261.859999999993</v>
      </c>
    </row>
    <row r="199" spans="1:20" s="30" customFormat="1" ht="12.75" x14ac:dyDescent="0.2">
      <c r="A199" s="24" t="s">
        <v>24</v>
      </c>
      <c r="B199" s="24"/>
      <c r="C199" s="24"/>
      <c r="D199" s="24"/>
      <c r="E199" s="24"/>
      <c r="F199" s="24"/>
      <c r="G199" s="24"/>
      <c r="H199" s="29"/>
    </row>
    <row r="200" spans="1:20" s="30" customFormat="1" ht="12.75" x14ac:dyDescent="0.2">
      <c r="A200" s="24" t="s">
        <v>24</v>
      </c>
      <c r="B200" s="24"/>
      <c r="C200" s="24"/>
      <c r="D200" s="24"/>
      <c r="E200" s="24"/>
      <c r="F200" s="24"/>
      <c r="G200" s="24"/>
      <c r="H200" s="29"/>
    </row>
    <row r="201" spans="1:20" s="30" customFormat="1" ht="12.75" x14ac:dyDescent="0.2">
      <c r="A201" s="24" t="s">
        <v>24</v>
      </c>
      <c r="B201" s="24"/>
      <c r="C201" s="24"/>
      <c r="D201" s="24"/>
      <c r="E201" s="24"/>
      <c r="F201" s="24" t="str">
        <f>"5021-0-6120-3460"</f>
        <v>5021-0-6120-3460</v>
      </c>
      <c r="G201" s="24" t="str">
        <f>"5021-0-6120-3460"</f>
        <v>5021-0-6120-3460</v>
      </c>
      <c r="H201" s="29"/>
      <c r="I201" s="38" t="str">
        <f>G201</f>
        <v>5021-0-6120-3460</v>
      </c>
      <c r="J201" s="38" t="str">
        <f>"Fringe Benefits - Retirement"</f>
        <v>Fringe Benefits - Retirement</v>
      </c>
      <c r="Q201" s="38"/>
      <c r="R201" s="39"/>
    </row>
    <row r="202" spans="1:20" s="30" customFormat="1" x14ac:dyDescent="0.25">
      <c r="A202" s="24" t="s">
        <v>24</v>
      </c>
      <c r="B202" s="40"/>
      <c r="C202" s="40"/>
      <c r="D202" s="24"/>
      <c r="E202" s="24"/>
      <c r="F202" s="40" t="e">
        <f>#REF!</f>
        <v>#REF!</v>
      </c>
      <c r="G202" s="40" t="e">
        <f>#REF!</f>
        <v>#REF!</v>
      </c>
      <c r="H202" s="41"/>
      <c r="K202" s="30" t="str">
        <f>"""GP"",""Ute Indian Tribe Membership Fund"",""aaa_contract_detail_sp"",""JRNENTRY"",""1612359"",""aaGLHdrID"",""1781970"",""aaGLDistID"",""19"",""aaGLAssignID"",""1"",""contract"",""3460 92 URHS FY2025"""</f>
        <v>"GP","Ute Indian Tribe Membership Fund","aaa_contract_detail_sp","JRNENTRY","1612359","aaGLHdrID","1781970","aaGLDistID","19","aaGLAssignID","1","contract","3460 92 URHS FY2025"</v>
      </c>
      <c r="L202" s="42">
        <v>45840</v>
      </c>
      <c r="M202" s="30">
        <v>1612359</v>
      </c>
      <c r="N202" s="30" t="str">
        <f>""</f>
        <v/>
      </c>
      <c r="O202" s="30" t="str">
        <f>""</f>
        <v/>
      </c>
      <c r="P202" s="30" t="str">
        <f>""</f>
        <v/>
      </c>
      <c r="Q202" s="43" t="str">
        <f>""</f>
        <v/>
      </c>
      <c r="R202" s="44">
        <v>238.66</v>
      </c>
      <c r="S202" s="44">
        <v>0</v>
      </c>
      <c r="T202" s="45">
        <f t="shared" ref="T202:T206" si="13">SUM(R202:S202)</f>
        <v>238.66</v>
      </c>
    </row>
    <row r="203" spans="1:20" s="30" customFormat="1" x14ac:dyDescent="0.25">
      <c r="A203" s="24" t="s">
        <v>24</v>
      </c>
      <c r="B203" s="40"/>
      <c r="C203" s="40"/>
      <c r="D203" s="24"/>
      <c r="E203" s="24"/>
      <c r="F203" s="40" t="e">
        <f t="shared" ref="F203:G206" si="14">F202</f>
        <v>#REF!</v>
      </c>
      <c r="G203" s="40" t="e">
        <f t="shared" si="14"/>
        <v>#REF!</v>
      </c>
      <c r="H203" s="41"/>
      <c r="K203" s="30" t="str">
        <f>"""GP"",""Ute Indian Tribe Membership Fund"",""aaa_contract_detail_sp"",""JRNENTRY"",""1612359"",""aaGLHdrID"",""1781970"",""aaGLDistID"",""20"",""aaGLAssignID"",""1"",""contract"",""3460 92 URHS FY2025"""</f>
        <v>"GP","Ute Indian Tribe Membership Fund","aaa_contract_detail_sp","JRNENTRY","1612359","aaGLHdrID","1781970","aaGLDistID","20","aaGLAssignID","1","contract","3460 92 URHS FY2025"</v>
      </c>
      <c r="L203" s="42">
        <v>45840</v>
      </c>
      <c r="M203" s="30">
        <v>1612359</v>
      </c>
      <c r="N203" s="30" t="str">
        <f>""</f>
        <v/>
      </c>
      <c r="O203" s="30" t="str">
        <f>""</f>
        <v/>
      </c>
      <c r="P203" s="30" t="str">
        <f>""</f>
        <v/>
      </c>
      <c r="Q203" s="43" t="str">
        <f>""</f>
        <v/>
      </c>
      <c r="R203" s="44">
        <v>119.33</v>
      </c>
      <c r="S203" s="44">
        <v>0</v>
      </c>
      <c r="T203" s="45">
        <f t="shared" si="13"/>
        <v>119.33</v>
      </c>
    </row>
    <row r="204" spans="1:20" s="30" customFormat="1" x14ac:dyDescent="0.25">
      <c r="A204" s="24" t="s">
        <v>24</v>
      </c>
      <c r="B204" s="40"/>
      <c r="C204" s="40"/>
      <c r="D204" s="24"/>
      <c r="E204" s="24"/>
      <c r="F204" s="40" t="e">
        <f t="shared" si="14"/>
        <v>#REF!</v>
      </c>
      <c r="G204" s="40" t="e">
        <f t="shared" si="14"/>
        <v>#REF!</v>
      </c>
      <c r="H204" s="41"/>
      <c r="K204" s="30" t="str">
        <f>"""GP"",""Ute Indian Tribe Membership Fund"",""aaa_contract_detail_sp"",""JRNENTRY"",""1612424"",""aaGLHdrID"",""1782035"",""aaGLDistID"",""20"",""aaGLAssignID"",""1"",""contract"",""3460 92 URHS FY2025"""</f>
        <v>"GP","Ute Indian Tribe Membership Fund","aaa_contract_detail_sp","JRNENTRY","1612424","aaGLHdrID","1782035","aaGLDistID","20","aaGLAssignID","1","contract","3460 92 URHS FY2025"</v>
      </c>
      <c r="L204" s="42">
        <v>45840</v>
      </c>
      <c r="M204" s="30">
        <v>1612424</v>
      </c>
      <c r="N204" s="30" t="str">
        <f>""</f>
        <v/>
      </c>
      <c r="O204" s="30" t="str">
        <f>""</f>
        <v/>
      </c>
      <c r="P204" s="30" t="str">
        <f>""</f>
        <v/>
      </c>
      <c r="Q204" s="43" t="str">
        <f>""</f>
        <v/>
      </c>
      <c r="R204" s="44">
        <v>296.64</v>
      </c>
      <c r="S204" s="44">
        <v>0</v>
      </c>
      <c r="T204" s="45">
        <f t="shared" si="13"/>
        <v>296.64</v>
      </c>
    </row>
    <row r="205" spans="1:20" s="30" customFormat="1" x14ac:dyDescent="0.25">
      <c r="A205" s="24" t="s">
        <v>24</v>
      </c>
      <c r="B205" s="40"/>
      <c r="C205" s="40"/>
      <c r="D205" s="24"/>
      <c r="E205" s="24"/>
      <c r="F205" s="40" t="e">
        <f t="shared" si="14"/>
        <v>#REF!</v>
      </c>
      <c r="G205" s="40" t="e">
        <f t="shared" si="14"/>
        <v>#REF!</v>
      </c>
      <c r="H205" s="41"/>
      <c r="K205" s="30" t="str">
        <f>"""GP"",""Ute Indian Tribe Membership Fund"",""aaa_contract_detail_sp"",""JRNENTRY"",""1612424"",""aaGLHdrID"",""1782035"",""aaGLDistID"",""21"",""aaGLAssignID"",""1"",""contract"",""3460 92 URHS FY2025"""</f>
        <v>"GP","Ute Indian Tribe Membership Fund","aaa_contract_detail_sp","JRNENTRY","1612424","aaGLHdrID","1782035","aaGLDistID","21","aaGLAssignID","1","contract","3460 92 URHS FY2025"</v>
      </c>
      <c r="L205" s="42">
        <v>45840</v>
      </c>
      <c r="M205" s="30">
        <v>1612424</v>
      </c>
      <c r="N205" s="30" t="str">
        <f>""</f>
        <v/>
      </c>
      <c r="O205" s="30" t="str">
        <f>""</f>
        <v/>
      </c>
      <c r="P205" s="30" t="str">
        <f>""</f>
        <v/>
      </c>
      <c r="Q205" s="43" t="str">
        <f>""</f>
        <v/>
      </c>
      <c r="R205" s="44">
        <v>148.32</v>
      </c>
      <c r="S205" s="44">
        <v>0</v>
      </c>
      <c r="T205" s="45">
        <f t="shared" si="13"/>
        <v>148.32</v>
      </c>
    </row>
    <row r="206" spans="1:20" s="30" customFormat="1" x14ac:dyDescent="0.25">
      <c r="A206" s="24" t="s">
        <v>24</v>
      </c>
      <c r="B206" s="40"/>
      <c r="C206" s="40"/>
      <c r="D206" s="24"/>
      <c r="E206" s="24"/>
      <c r="F206" s="40" t="e">
        <f t="shared" si="14"/>
        <v>#REF!</v>
      </c>
      <c r="G206" s="40" t="e">
        <f t="shared" si="14"/>
        <v>#REF!</v>
      </c>
      <c r="H206" s="41"/>
      <c r="K206" s="30" t="str">
        <f>"""GP"",""Ute Indian Tribe Membership Fund"",""aaa_contract_detail_sp"",""JRNENTRY"",""1612448"",""aaGLHdrID"",""1782059"",""aaGLDistID"",""22"",""aaGLAssignID"",""1"",""contract"",""3460 92 URHS FY2025"""</f>
        <v>"GP","Ute Indian Tribe Membership Fund","aaa_contract_detail_sp","JRNENTRY","1612448","aaGLHdrID","1782059","aaGLDistID","22","aaGLAssignID","1","contract","3460 92 URHS FY2025"</v>
      </c>
      <c r="L206" s="42">
        <v>45840</v>
      </c>
      <c r="M206" s="30">
        <v>1612448</v>
      </c>
      <c r="N206" s="30" t="str">
        <f>""</f>
        <v/>
      </c>
      <c r="O206" s="30" t="str">
        <f>""</f>
        <v/>
      </c>
      <c r="P206" s="30" t="str">
        <f>""</f>
        <v/>
      </c>
      <c r="Q206" s="43" t="str">
        <f>""</f>
        <v/>
      </c>
      <c r="R206" s="44">
        <v>282.43</v>
      </c>
      <c r="S206" s="44">
        <v>0</v>
      </c>
      <c r="T206" s="45">
        <f t="shared" si="13"/>
        <v>282.43</v>
      </c>
    </row>
    <row r="207" spans="1:20" s="30" customFormat="1" x14ac:dyDescent="0.25">
      <c r="A207" s="24" t="s">
        <v>24</v>
      </c>
      <c r="B207" s="40"/>
      <c r="C207" s="40"/>
      <c r="D207" s="24"/>
      <c r="E207" s="24"/>
      <c r="F207" s="40" t="e">
        <f t="shared" ref="F207:G262" si="15">F206</f>
        <v>#REF!</v>
      </c>
      <c r="G207" s="40" t="e">
        <f t="shared" si="15"/>
        <v>#REF!</v>
      </c>
      <c r="H207" s="41"/>
      <c r="K207" s="30" t="str">
        <f>"""GP"",""Ute Indian Tribe Membership Fund"",""aaa_contract_detail_sp"",""JRNENTRY"",""1612510"",""aaGLHdrID"",""1782120"",""aaGLDistID"",""17"",""aaGLAssignID"",""1"",""contract"",""3460 92 URHS FY2025"""</f>
        <v>"GP","Ute Indian Tribe Membership Fund","aaa_contract_detail_sp","JRNENTRY","1612510","aaGLHdrID","1782120","aaGLDistID","17","aaGLAssignID","1","contract","3460 92 URHS FY2025"</v>
      </c>
      <c r="L207" s="42">
        <v>45840</v>
      </c>
      <c r="M207" s="30">
        <v>1612510</v>
      </c>
      <c r="N207" s="30" t="str">
        <f>""</f>
        <v/>
      </c>
      <c r="O207" s="30" t="str">
        <f>""</f>
        <v/>
      </c>
      <c r="P207" s="30" t="str">
        <f>""</f>
        <v/>
      </c>
      <c r="Q207" s="43" t="str">
        <f>""</f>
        <v/>
      </c>
      <c r="R207" s="44">
        <v>267.77999999999997</v>
      </c>
      <c r="S207" s="44">
        <v>0</v>
      </c>
      <c r="T207" s="45">
        <f t="shared" ref="T207:T262" si="16">SUM(R207:S207)</f>
        <v>267.77999999999997</v>
      </c>
    </row>
    <row r="208" spans="1:20" s="30" customFormat="1" x14ac:dyDescent="0.25">
      <c r="A208" s="24" t="s">
        <v>24</v>
      </c>
      <c r="B208" s="40"/>
      <c r="C208" s="40"/>
      <c r="D208" s="24"/>
      <c r="E208" s="24"/>
      <c r="F208" s="40" t="e">
        <f t="shared" si="15"/>
        <v>#REF!</v>
      </c>
      <c r="G208" s="40" t="e">
        <f t="shared" si="15"/>
        <v>#REF!</v>
      </c>
      <c r="H208" s="41"/>
      <c r="K208" s="30" t="str">
        <f>"""GP"",""Ute Indian Tribe Membership Fund"",""aaa_contract_detail_sp"",""JRNENTRY"",""1612511"",""aaGLHdrID"",""1782121"",""aaGLDistID"",""19"",""aaGLAssignID"",""1"",""contract"",""3460 92 URHS FY2025"""</f>
        <v>"GP","Ute Indian Tribe Membership Fund","aaa_contract_detail_sp","JRNENTRY","1612511","aaGLHdrID","1782121","aaGLDistID","19","aaGLAssignID","1","contract","3460 92 URHS FY2025"</v>
      </c>
      <c r="L208" s="42">
        <v>45840</v>
      </c>
      <c r="M208" s="30">
        <v>1612511</v>
      </c>
      <c r="N208" s="30" t="str">
        <f>""</f>
        <v/>
      </c>
      <c r="O208" s="30" t="str">
        <f>""</f>
        <v/>
      </c>
      <c r="P208" s="30" t="str">
        <f>""</f>
        <v/>
      </c>
      <c r="Q208" s="43" t="str">
        <f>""</f>
        <v/>
      </c>
      <c r="R208" s="44">
        <v>321.79000000000002</v>
      </c>
      <c r="S208" s="44">
        <v>0</v>
      </c>
      <c r="T208" s="45">
        <f t="shared" si="16"/>
        <v>321.79000000000002</v>
      </c>
    </row>
    <row r="209" spans="1:20" s="30" customFormat="1" x14ac:dyDescent="0.25">
      <c r="A209" s="24" t="s">
        <v>24</v>
      </c>
      <c r="B209" s="40"/>
      <c r="C209" s="40"/>
      <c r="D209" s="24"/>
      <c r="E209" s="24"/>
      <c r="F209" s="40" t="e">
        <f t="shared" si="15"/>
        <v>#REF!</v>
      </c>
      <c r="G209" s="40" t="e">
        <f t="shared" si="15"/>
        <v>#REF!</v>
      </c>
      <c r="H209" s="41"/>
      <c r="K209" s="30" t="str">
        <f>"""GP"",""Ute Indian Tribe Membership Fund"",""aaa_contract_detail_sp"",""JRNENTRY"",""1612511"",""aaGLHdrID"",""1782121"",""aaGLDistID"",""20"",""aaGLAssignID"",""1"",""contract"",""3460 92 URHS FY2025"""</f>
        <v>"GP","Ute Indian Tribe Membership Fund","aaa_contract_detail_sp","JRNENTRY","1612511","aaGLHdrID","1782121","aaGLDistID","20","aaGLAssignID","1","contract","3460 92 URHS FY2025"</v>
      </c>
      <c r="L209" s="42">
        <v>45840</v>
      </c>
      <c r="M209" s="30">
        <v>1612511</v>
      </c>
      <c r="N209" s="30" t="str">
        <f>""</f>
        <v/>
      </c>
      <c r="O209" s="30" t="str">
        <f>""</f>
        <v/>
      </c>
      <c r="P209" s="30" t="str">
        <f>""</f>
        <v/>
      </c>
      <c r="Q209" s="43" t="str">
        <f>""</f>
        <v/>
      </c>
      <c r="R209" s="44">
        <v>160.9</v>
      </c>
      <c r="S209" s="44">
        <v>0</v>
      </c>
      <c r="T209" s="45">
        <f t="shared" si="16"/>
        <v>160.9</v>
      </c>
    </row>
    <row r="210" spans="1:20" s="30" customFormat="1" x14ac:dyDescent="0.25">
      <c r="A210" s="24" t="s">
        <v>24</v>
      </c>
      <c r="B210" s="40"/>
      <c r="C210" s="40"/>
      <c r="D210" s="24"/>
      <c r="E210" s="24"/>
      <c r="F210" s="40" t="e">
        <f t="shared" si="15"/>
        <v>#REF!</v>
      </c>
      <c r="G210" s="40" t="e">
        <f t="shared" si="15"/>
        <v>#REF!</v>
      </c>
      <c r="H210" s="41"/>
      <c r="K210" s="30" t="str">
        <f>"""GP"",""Ute Indian Tribe Membership Fund"",""aaa_contract_detail_sp"",""JRNENTRY"",""1612515"",""aaGLHdrID"",""1782125"",""aaGLDistID"",""20"",""aaGLAssignID"",""1"",""contract"",""3460 92 URHS FY2025"""</f>
        <v>"GP","Ute Indian Tribe Membership Fund","aaa_contract_detail_sp","JRNENTRY","1612515","aaGLHdrID","1782125","aaGLDistID","20","aaGLAssignID","1","contract","3460 92 URHS FY2025"</v>
      </c>
      <c r="L210" s="42">
        <v>45840</v>
      </c>
      <c r="M210" s="30">
        <v>1612515</v>
      </c>
      <c r="N210" s="30" t="str">
        <f>""</f>
        <v/>
      </c>
      <c r="O210" s="30" t="str">
        <f>""</f>
        <v/>
      </c>
      <c r="P210" s="30" t="str">
        <f>""</f>
        <v/>
      </c>
      <c r="Q210" s="43" t="str">
        <f>""</f>
        <v/>
      </c>
      <c r="R210" s="44">
        <v>399.23</v>
      </c>
      <c r="S210" s="44">
        <v>0</v>
      </c>
      <c r="T210" s="45">
        <f t="shared" si="16"/>
        <v>399.23</v>
      </c>
    </row>
    <row r="211" spans="1:20" s="30" customFormat="1" x14ac:dyDescent="0.25">
      <c r="A211" s="24" t="s">
        <v>24</v>
      </c>
      <c r="B211" s="40"/>
      <c r="C211" s="40"/>
      <c r="D211" s="24"/>
      <c r="E211" s="24"/>
      <c r="F211" s="40" t="e">
        <f t="shared" si="15"/>
        <v>#REF!</v>
      </c>
      <c r="G211" s="40" t="e">
        <f t="shared" si="15"/>
        <v>#REF!</v>
      </c>
      <c r="H211" s="41"/>
      <c r="K211" s="30" t="str">
        <f>"""GP"",""Ute Indian Tribe Membership Fund"",""aaa_contract_detail_sp"",""JRNENTRY"",""1612515"",""aaGLHdrID"",""1782125"",""aaGLDistID"",""21"",""aaGLAssignID"",""1"",""contract"",""3460 92 URHS FY2025"""</f>
        <v>"GP","Ute Indian Tribe Membership Fund","aaa_contract_detail_sp","JRNENTRY","1612515","aaGLHdrID","1782125","aaGLDistID","21","aaGLAssignID","1","contract","3460 92 URHS FY2025"</v>
      </c>
      <c r="L211" s="42">
        <v>45840</v>
      </c>
      <c r="M211" s="30">
        <v>1612515</v>
      </c>
      <c r="N211" s="30" t="str">
        <f>""</f>
        <v/>
      </c>
      <c r="O211" s="30" t="str">
        <f>""</f>
        <v/>
      </c>
      <c r="P211" s="30" t="str">
        <f>""</f>
        <v/>
      </c>
      <c r="Q211" s="43" t="str">
        <f>""</f>
        <v/>
      </c>
      <c r="R211" s="44">
        <v>199.62</v>
      </c>
      <c r="S211" s="44">
        <v>0</v>
      </c>
      <c r="T211" s="45">
        <f t="shared" si="16"/>
        <v>199.62</v>
      </c>
    </row>
    <row r="212" spans="1:20" s="30" customFormat="1" x14ac:dyDescent="0.25">
      <c r="A212" s="24" t="s">
        <v>24</v>
      </c>
      <c r="B212" s="40"/>
      <c r="C212" s="40"/>
      <c r="D212" s="24"/>
      <c r="E212" s="24"/>
      <c r="F212" s="40" t="e">
        <f t="shared" si="15"/>
        <v>#REF!</v>
      </c>
      <c r="G212" s="40" t="e">
        <f t="shared" si="15"/>
        <v>#REF!</v>
      </c>
      <c r="H212" s="41"/>
      <c r="K212" s="30" t="str">
        <f>"""GP"",""Ute Indian Tribe Membership Fund"",""aaa_contract_detail_sp"",""JRNENTRY"",""1612554"",""aaGLHdrID"",""1782164"",""aaGLDistID"",""20"",""aaGLAssignID"",""1"",""contract"",""3460 92 URHS FY2025"""</f>
        <v>"GP","Ute Indian Tribe Membership Fund","aaa_contract_detail_sp","JRNENTRY","1612554","aaGLHdrID","1782164","aaGLDistID","20","aaGLAssignID","1","contract","3460 92 URHS FY2025"</v>
      </c>
      <c r="L212" s="42">
        <v>45840</v>
      </c>
      <c r="M212" s="30">
        <v>1612554</v>
      </c>
      <c r="N212" s="30" t="str">
        <f>""</f>
        <v/>
      </c>
      <c r="O212" s="30" t="str">
        <f>""</f>
        <v/>
      </c>
      <c r="P212" s="30" t="str">
        <f>""</f>
        <v/>
      </c>
      <c r="Q212" s="43" t="str">
        <f>""</f>
        <v/>
      </c>
      <c r="R212" s="44">
        <v>253.95</v>
      </c>
      <c r="S212" s="44">
        <v>0</v>
      </c>
      <c r="T212" s="45">
        <f t="shared" si="16"/>
        <v>253.95</v>
      </c>
    </row>
    <row r="213" spans="1:20" s="30" customFormat="1" x14ac:dyDescent="0.25">
      <c r="A213" s="24" t="s">
        <v>24</v>
      </c>
      <c r="B213" s="40"/>
      <c r="C213" s="40"/>
      <c r="D213" s="24"/>
      <c r="E213" s="24"/>
      <c r="F213" s="40" t="e">
        <f t="shared" si="15"/>
        <v>#REF!</v>
      </c>
      <c r="G213" s="40" t="e">
        <f t="shared" si="15"/>
        <v>#REF!</v>
      </c>
      <c r="H213" s="41"/>
      <c r="K213" s="30" t="str">
        <f>"""GP"",""Ute Indian Tribe Membership Fund"",""aaa_contract_detail_sp"",""JRNENTRY"",""1612562"",""aaGLHdrID"",""1782172"",""aaGLDistID"",""18"",""aaGLAssignID"",""1"",""contract"",""3460 92 URHS FY2025"""</f>
        <v>"GP","Ute Indian Tribe Membership Fund","aaa_contract_detail_sp","JRNENTRY","1612562","aaGLHdrID","1782172","aaGLDistID","18","aaGLAssignID","1","contract","3460 92 URHS FY2025"</v>
      </c>
      <c r="L213" s="42">
        <v>45840</v>
      </c>
      <c r="M213" s="30">
        <v>1612562</v>
      </c>
      <c r="N213" s="30" t="str">
        <f>""</f>
        <v/>
      </c>
      <c r="O213" s="30" t="str">
        <f>""</f>
        <v/>
      </c>
      <c r="P213" s="30" t="str">
        <f>""</f>
        <v/>
      </c>
      <c r="Q213" s="43" t="str">
        <f>""</f>
        <v/>
      </c>
      <c r="R213" s="44">
        <v>275.45999999999998</v>
      </c>
      <c r="S213" s="44">
        <v>0</v>
      </c>
      <c r="T213" s="45">
        <f t="shared" si="16"/>
        <v>275.45999999999998</v>
      </c>
    </row>
    <row r="214" spans="1:20" s="30" customFormat="1" x14ac:dyDescent="0.25">
      <c r="A214" s="24" t="s">
        <v>24</v>
      </c>
      <c r="B214" s="40"/>
      <c r="C214" s="40"/>
      <c r="D214" s="24"/>
      <c r="E214" s="24"/>
      <c r="F214" s="40" t="e">
        <f t="shared" si="15"/>
        <v>#REF!</v>
      </c>
      <c r="G214" s="40" t="e">
        <f t="shared" si="15"/>
        <v>#REF!</v>
      </c>
      <c r="H214" s="41"/>
      <c r="K214" s="30" t="str">
        <f>"""GP"",""Ute Indian Tribe Membership Fund"",""aaa_contract_detail_sp"",""JRNENTRY"",""1612563"",""aaGLHdrID"",""1782173"",""aaGLDistID"",""16"",""aaGLAssignID"",""1"",""contract"",""3460 92 URHS FY2025"""</f>
        <v>"GP","Ute Indian Tribe Membership Fund","aaa_contract_detail_sp","JRNENTRY","1612563","aaGLHdrID","1782173","aaGLDistID","16","aaGLAssignID","1","contract","3460 92 URHS FY2025"</v>
      </c>
      <c r="L214" s="42">
        <v>45840</v>
      </c>
      <c r="M214" s="30">
        <v>1612563</v>
      </c>
      <c r="N214" s="30" t="str">
        <f>""</f>
        <v/>
      </c>
      <c r="O214" s="30" t="str">
        <f>""</f>
        <v/>
      </c>
      <c r="P214" s="30" t="str">
        <f>""</f>
        <v/>
      </c>
      <c r="Q214" s="43" t="str">
        <f>""</f>
        <v/>
      </c>
      <c r="R214" s="44">
        <v>284.74</v>
      </c>
      <c r="S214" s="44">
        <v>0</v>
      </c>
      <c r="T214" s="45">
        <f t="shared" si="16"/>
        <v>284.74</v>
      </c>
    </row>
    <row r="215" spans="1:20" s="30" customFormat="1" x14ac:dyDescent="0.25">
      <c r="A215" s="24" t="s">
        <v>24</v>
      </c>
      <c r="B215" s="40"/>
      <c r="C215" s="40"/>
      <c r="D215" s="24"/>
      <c r="E215" s="24"/>
      <c r="F215" s="40" t="e">
        <f t="shared" si="15"/>
        <v>#REF!</v>
      </c>
      <c r="G215" s="40" t="e">
        <f t="shared" si="15"/>
        <v>#REF!</v>
      </c>
      <c r="H215" s="41"/>
      <c r="K215" s="30" t="str">
        <f>"""GP"",""Ute Indian Tribe Membership Fund"",""aaa_contract_detail_sp"",""JRNENTRY"",""1612563"",""aaGLHdrID"",""1782173"",""aaGLDistID"",""17"",""aaGLAssignID"",""1"",""contract"",""3460 92 URHS FY2025"""</f>
        <v>"GP","Ute Indian Tribe Membership Fund","aaa_contract_detail_sp","JRNENTRY","1612563","aaGLHdrID","1782173","aaGLDistID","17","aaGLAssignID","1","contract","3460 92 URHS FY2025"</v>
      </c>
      <c r="L215" s="42">
        <v>45840</v>
      </c>
      <c r="M215" s="30">
        <v>1612563</v>
      </c>
      <c r="N215" s="30" t="str">
        <f>""</f>
        <v/>
      </c>
      <c r="O215" s="30" t="str">
        <f>""</f>
        <v/>
      </c>
      <c r="P215" s="30" t="str">
        <f>""</f>
        <v/>
      </c>
      <c r="Q215" s="43" t="str">
        <f>""</f>
        <v/>
      </c>
      <c r="R215" s="44">
        <v>142.37</v>
      </c>
      <c r="S215" s="44">
        <v>0</v>
      </c>
      <c r="T215" s="45">
        <f t="shared" si="16"/>
        <v>142.37</v>
      </c>
    </row>
    <row r="216" spans="1:20" s="30" customFormat="1" x14ac:dyDescent="0.25">
      <c r="A216" s="24" t="s">
        <v>24</v>
      </c>
      <c r="B216" s="40"/>
      <c r="C216" s="40"/>
      <c r="D216" s="24"/>
      <c r="E216" s="24"/>
      <c r="F216" s="40" t="e">
        <f t="shared" si="15"/>
        <v>#REF!</v>
      </c>
      <c r="G216" s="40" t="e">
        <f t="shared" si="15"/>
        <v>#REF!</v>
      </c>
      <c r="H216" s="41"/>
      <c r="K216" s="30" t="str">
        <f>"""GP"",""Ute Indian Tribe Membership Fund"",""aaa_contract_detail_sp"",""JRNENTRY"",""1612680"",""aaGLHdrID"",""1782290"",""aaGLDistID"",""16"",""aaGLAssignID"",""1"",""contract"",""3460 92 URHS FY2025"""</f>
        <v>"GP","Ute Indian Tribe Membership Fund","aaa_contract_detail_sp","JRNENTRY","1612680","aaGLHdrID","1782290","aaGLDistID","16","aaGLAssignID","1","contract","3460 92 URHS FY2025"</v>
      </c>
      <c r="L216" s="42">
        <v>45840</v>
      </c>
      <c r="M216" s="30">
        <v>1612680</v>
      </c>
      <c r="N216" s="30" t="str">
        <f>""</f>
        <v/>
      </c>
      <c r="O216" s="30" t="str">
        <f>""</f>
        <v/>
      </c>
      <c r="P216" s="30" t="str">
        <f>""</f>
        <v/>
      </c>
      <c r="Q216" s="43" t="str">
        <f>""</f>
        <v/>
      </c>
      <c r="R216" s="44">
        <v>130.46</v>
      </c>
      <c r="S216" s="44">
        <v>0</v>
      </c>
      <c r="T216" s="45">
        <f t="shared" si="16"/>
        <v>130.46</v>
      </c>
    </row>
    <row r="217" spans="1:20" s="30" customFormat="1" x14ac:dyDescent="0.25">
      <c r="A217" s="24" t="s">
        <v>24</v>
      </c>
      <c r="B217" s="40"/>
      <c r="C217" s="40"/>
      <c r="D217" s="24"/>
      <c r="E217" s="24"/>
      <c r="F217" s="40" t="e">
        <f t="shared" si="15"/>
        <v>#REF!</v>
      </c>
      <c r="G217" s="40" t="e">
        <f t="shared" si="15"/>
        <v>#REF!</v>
      </c>
      <c r="H217" s="41"/>
      <c r="K217" s="30" t="str">
        <f>"""GP"",""Ute Indian Tribe Membership Fund"",""aaa_contract_detail_sp"",""JRNENTRY"",""1612760"",""aaGLHdrID"",""1782370"",""aaGLDistID"",""19"",""aaGLAssignID"",""1"",""contract"",""3460 92 URHS FY2025"""</f>
        <v>"GP","Ute Indian Tribe Membership Fund","aaa_contract_detail_sp","JRNENTRY","1612760","aaGLHdrID","1782370","aaGLDistID","19","aaGLAssignID","1","contract","3460 92 URHS FY2025"</v>
      </c>
      <c r="L217" s="42">
        <v>45840</v>
      </c>
      <c r="M217" s="30">
        <v>1612760</v>
      </c>
      <c r="N217" s="30" t="str">
        <f>""</f>
        <v/>
      </c>
      <c r="O217" s="30" t="str">
        <f>""</f>
        <v/>
      </c>
      <c r="P217" s="30" t="str">
        <f>""</f>
        <v/>
      </c>
      <c r="Q217" s="43" t="str">
        <f>""</f>
        <v/>
      </c>
      <c r="R217" s="44">
        <v>81.540000000000006</v>
      </c>
      <c r="S217" s="44">
        <v>0</v>
      </c>
      <c r="T217" s="45">
        <f t="shared" si="16"/>
        <v>81.540000000000006</v>
      </c>
    </row>
    <row r="218" spans="1:20" s="30" customFormat="1" x14ac:dyDescent="0.25">
      <c r="A218" s="24" t="s">
        <v>24</v>
      </c>
      <c r="B218" s="40"/>
      <c r="C218" s="40"/>
      <c r="D218" s="24"/>
      <c r="E218" s="24"/>
      <c r="F218" s="40" t="e">
        <f t="shared" si="15"/>
        <v>#REF!</v>
      </c>
      <c r="G218" s="40" t="e">
        <f t="shared" si="15"/>
        <v>#REF!</v>
      </c>
      <c r="H218" s="41"/>
      <c r="K218" s="30" t="str">
        <f>"""GP"",""Ute Indian Tribe Membership Fund"",""aaa_contract_detail_sp"",""JRNENTRY"",""1614772"",""aaGLHdrID"",""1782645"",""aaGLDistID"",""19"",""aaGLAssignID"",""1"",""contract"",""3460 92 URHS FY2025"""</f>
        <v>"GP","Ute Indian Tribe Membership Fund","aaa_contract_detail_sp","JRNENTRY","1614772","aaGLHdrID","1782645","aaGLDistID","19","aaGLAssignID","1","contract","3460 92 URHS FY2025"</v>
      </c>
      <c r="L218" s="42">
        <v>45855</v>
      </c>
      <c r="M218" s="30">
        <v>1614772</v>
      </c>
      <c r="N218" s="30" t="str">
        <f>""</f>
        <v/>
      </c>
      <c r="O218" s="30" t="str">
        <f>""</f>
        <v/>
      </c>
      <c r="P218" s="30" t="str">
        <f>""</f>
        <v/>
      </c>
      <c r="Q218" s="43" t="str">
        <f>""</f>
        <v/>
      </c>
      <c r="R218" s="44">
        <v>241.02</v>
      </c>
      <c r="S218" s="44">
        <v>0</v>
      </c>
      <c r="T218" s="45">
        <f t="shared" si="16"/>
        <v>241.02</v>
      </c>
    </row>
    <row r="219" spans="1:20" s="30" customFormat="1" x14ac:dyDescent="0.25">
      <c r="A219" s="24" t="s">
        <v>24</v>
      </c>
      <c r="B219" s="40"/>
      <c r="C219" s="40"/>
      <c r="D219" s="24"/>
      <c r="E219" s="24"/>
      <c r="F219" s="40" t="e">
        <f t="shared" si="15"/>
        <v>#REF!</v>
      </c>
      <c r="G219" s="40" t="e">
        <f t="shared" si="15"/>
        <v>#REF!</v>
      </c>
      <c r="H219" s="41"/>
      <c r="K219" s="30" t="str">
        <f>"""GP"",""Ute Indian Tribe Membership Fund"",""aaa_contract_detail_sp"",""JRNENTRY"",""1614772"",""aaGLHdrID"",""1782645"",""aaGLDistID"",""20"",""aaGLAssignID"",""1"",""contract"",""3460 92 URHS FY2025"""</f>
        <v>"GP","Ute Indian Tribe Membership Fund","aaa_contract_detail_sp","JRNENTRY","1614772","aaGLHdrID","1782645","aaGLDistID","20","aaGLAssignID","1","contract","3460 92 URHS FY2025"</v>
      </c>
      <c r="L219" s="42">
        <v>45855</v>
      </c>
      <c r="M219" s="30">
        <v>1614772</v>
      </c>
      <c r="N219" s="30" t="str">
        <f>""</f>
        <v/>
      </c>
      <c r="O219" s="30" t="str">
        <f>""</f>
        <v/>
      </c>
      <c r="P219" s="30" t="str">
        <f>""</f>
        <v/>
      </c>
      <c r="Q219" s="43" t="str">
        <f>""</f>
        <v/>
      </c>
      <c r="R219" s="44">
        <v>120.51</v>
      </c>
      <c r="S219" s="44">
        <v>0</v>
      </c>
      <c r="T219" s="45">
        <f t="shared" si="16"/>
        <v>120.51</v>
      </c>
    </row>
    <row r="220" spans="1:20" s="30" customFormat="1" x14ac:dyDescent="0.25">
      <c r="A220" s="24" t="s">
        <v>24</v>
      </c>
      <c r="B220" s="40"/>
      <c r="C220" s="40"/>
      <c r="D220" s="24"/>
      <c r="E220" s="24"/>
      <c r="F220" s="40" t="e">
        <f t="shared" si="15"/>
        <v>#REF!</v>
      </c>
      <c r="G220" s="40" t="e">
        <f t="shared" si="15"/>
        <v>#REF!</v>
      </c>
      <c r="H220" s="41"/>
      <c r="K220" s="30" t="str">
        <f>"""GP"",""Ute Indian Tribe Membership Fund"",""aaa_contract_detail_sp"",""JRNENTRY"",""1614838"",""aaGLHdrID"",""1782711"",""aaGLDistID"",""20"",""aaGLAssignID"",""1"",""contract"",""3460 92 URHS FY2025"""</f>
        <v>"GP","Ute Indian Tribe Membership Fund","aaa_contract_detail_sp","JRNENTRY","1614838","aaGLHdrID","1782711","aaGLDistID","20","aaGLAssignID","1","contract","3460 92 URHS FY2025"</v>
      </c>
      <c r="L220" s="42">
        <v>45855</v>
      </c>
      <c r="M220" s="30">
        <v>1614838</v>
      </c>
      <c r="N220" s="30" t="str">
        <f>""</f>
        <v/>
      </c>
      <c r="O220" s="30" t="str">
        <f>""</f>
        <v/>
      </c>
      <c r="P220" s="30" t="str">
        <f>""</f>
        <v/>
      </c>
      <c r="Q220" s="43" t="str">
        <f>""</f>
        <v/>
      </c>
      <c r="R220" s="44">
        <v>299.2</v>
      </c>
      <c r="S220" s="44">
        <v>0</v>
      </c>
      <c r="T220" s="45">
        <f t="shared" si="16"/>
        <v>299.2</v>
      </c>
    </row>
    <row r="221" spans="1:20" s="30" customFormat="1" x14ac:dyDescent="0.25">
      <c r="A221" s="24" t="s">
        <v>24</v>
      </c>
      <c r="B221" s="40"/>
      <c r="C221" s="40"/>
      <c r="D221" s="24"/>
      <c r="E221" s="24"/>
      <c r="F221" s="40" t="e">
        <f t="shared" si="15"/>
        <v>#REF!</v>
      </c>
      <c r="G221" s="40" t="e">
        <f t="shared" si="15"/>
        <v>#REF!</v>
      </c>
      <c r="H221" s="41"/>
      <c r="K221" s="30" t="str">
        <f>"""GP"",""Ute Indian Tribe Membership Fund"",""aaa_contract_detail_sp"",""JRNENTRY"",""1614838"",""aaGLHdrID"",""1782711"",""aaGLDistID"",""21"",""aaGLAssignID"",""1"",""contract"",""3460 92 URHS FY2025"""</f>
        <v>"GP","Ute Indian Tribe Membership Fund","aaa_contract_detail_sp","JRNENTRY","1614838","aaGLHdrID","1782711","aaGLDistID","21","aaGLAssignID","1","contract","3460 92 URHS FY2025"</v>
      </c>
      <c r="L221" s="42">
        <v>45855</v>
      </c>
      <c r="M221" s="30">
        <v>1614838</v>
      </c>
      <c r="N221" s="30" t="str">
        <f>""</f>
        <v/>
      </c>
      <c r="O221" s="30" t="str">
        <f>""</f>
        <v/>
      </c>
      <c r="P221" s="30" t="str">
        <f>""</f>
        <v/>
      </c>
      <c r="Q221" s="43" t="str">
        <f>""</f>
        <v/>
      </c>
      <c r="R221" s="44">
        <v>149.6</v>
      </c>
      <c r="S221" s="44">
        <v>0</v>
      </c>
      <c r="T221" s="45">
        <f t="shared" si="16"/>
        <v>149.6</v>
      </c>
    </row>
    <row r="222" spans="1:20" s="30" customFormat="1" x14ac:dyDescent="0.25">
      <c r="A222" s="24" t="s">
        <v>24</v>
      </c>
      <c r="B222" s="40"/>
      <c r="C222" s="40"/>
      <c r="D222" s="24"/>
      <c r="E222" s="24"/>
      <c r="F222" s="40" t="e">
        <f t="shared" si="15"/>
        <v>#REF!</v>
      </c>
      <c r="G222" s="40" t="e">
        <f t="shared" si="15"/>
        <v>#REF!</v>
      </c>
      <c r="H222" s="41"/>
      <c r="K222" s="30" t="str">
        <f>"""GP"",""Ute Indian Tribe Membership Fund"",""aaa_contract_detail_sp"",""JRNENTRY"",""1614861"",""aaGLHdrID"",""1782734"",""aaGLDistID"",""23"",""aaGLAssignID"",""1"",""contract"",""3460 92 URHS FY2025"""</f>
        <v>"GP","Ute Indian Tribe Membership Fund","aaa_contract_detail_sp","JRNENTRY","1614861","aaGLHdrID","1782734","aaGLDistID","23","aaGLAssignID","1","contract","3460 92 URHS FY2025"</v>
      </c>
      <c r="L222" s="42">
        <v>45855</v>
      </c>
      <c r="M222" s="30">
        <v>1614861</v>
      </c>
      <c r="N222" s="30" t="str">
        <f>""</f>
        <v/>
      </c>
      <c r="O222" s="30" t="str">
        <f>""</f>
        <v/>
      </c>
      <c r="P222" s="30" t="str">
        <f>""</f>
        <v/>
      </c>
      <c r="Q222" s="43" t="str">
        <f>""</f>
        <v/>
      </c>
      <c r="R222" s="44">
        <v>304.99</v>
      </c>
      <c r="S222" s="44">
        <v>0</v>
      </c>
      <c r="T222" s="45">
        <f t="shared" si="16"/>
        <v>304.99</v>
      </c>
    </row>
    <row r="223" spans="1:20" s="30" customFormat="1" x14ac:dyDescent="0.25">
      <c r="A223" s="24" t="s">
        <v>24</v>
      </c>
      <c r="B223" s="40"/>
      <c r="C223" s="40"/>
      <c r="D223" s="24"/>
      <c r="E223" s="24"/>
      <c r="F223" s="40" t="e">
        <f t="shared" si="15"/>
        <v>#REF!</v>
      </c>
      <c r="G223" s="40" t="e">
        <f t="shared" si="15"/>
        <v>#REF!</v>
      </c>
      <c r="H223" s="41"/>
      <c r="K223" s="30" t="str">
        <f>"""GP"",""Ute Indian Tribe Membership Fund"",""aaa_contract_detail_sp"",""JRNENTRY"",""1614920"",""aaGLHdrID"",""1782793"",""aaGLDistID"",""17"",""aaGLAssignID"",""1"",""contract"",""3460 92 URHS FY2025"""</f>
        <v>"GP","Ute Indian Tribe Membership Fund","aaa_contract_detail_sp","JRNENTRY","1614920","aaGLHdrID","1782793","aaGLDistID","17","aaGLAssignID","1","contract","3460 92 URHS FY2025"</v>
      </c>
      <c r="L223" s="42">
        <v>45855</v>
      </c>
      <c r="M223" s="30">
        <v>1614920</v>
      </c>
      <c r="N223" s="30" t="str">
        <f>""</f>
        <v/>
      </c>
      <c r="O223" s="30" t="str">
        <f>""</f>
        <v/>
      </c>
      <c r="P223" s="30" t="str">
        <f>""</f>
        <v/>
      </c>
      <c r="Q223" s="43" t="str">
        <f>""</f>
        <v/>
      </c>
      <c r="R223" s="44">
        <v>284.99</v>
      </c>
      <c r="S223" s="44">
        <v>0</v>
      </c>
      <c r="T223" s="45">
        <f t="shared" si="16"/>
        <v>284.99</v>
      </c>
    </row>
    <row r="224" spans="1:20" s="30" customFormat="1" x14ac:dyDescent="0.25">
      <c r="A224" s="24" t="s">
        <v>24</v>
      </c>
      <c r="B224" s="40"/>
      <c r="C224" s="40"/>
      <c r="D224" s="24"/>
      <c r="E224" s="24"/>
      <c r="F224" s="40" t="e">
        <f t="shared" si="15"/>
        <v>#REF!</v>
      </c>
      <c r="G224" s="40" t="e">
        <f t="shared" si="15"/>
        <v>#REF!</v>
      </c>
      <c r="H224" s="41"/>
      <c r="K224" s="30" t="str">
        <f>"""GP"",""Ute Indian Tribe Membership Fund"",""aaa_contract_detail_sp"",""JRNENTRY"",""1614921"",""aaGLHdrID"",""1782794"",""aaGLDistID"",""20"",""aaGLAssignID"",""1"",""contract"",""3460 92 URHS FY2025"""</f>
        <v>"GP","Ute Indian Tribe Membership Fund","aaa_contract_detail_sp","JRNENTRY","1614921","aaGLHdrID","1782794","aaGLDistID","20","aaGLAssignID","1","contract","3460 92 URHS FY2025"</v>
      </c>
      <c r="L224" s="42">
        <v>45855</v>
      </c>
      <c r="M224" s="30">
        <v>1614921</v>
      </c>
      <c r="N224" s="30" t="str">
        <f>""</f>
        <v/>
      </c>
      <c r="O224" s="30" t="str">
        <f>""</f>
        <v/>
      </c>
      <c r="P224" s="30" t="str">
        <f>""</f>
        <v/>
      </c>
      <c r="Q224" s="43" t="str">
        <f>""</f>
        <v/>
      </c>
      <c r="R224" s="44">
        <v>183.11</v>
      </c>
      <c r="S224" s="44">
        <v>0</v>
      </c>
      <c r="T224" s="45">
        <f t="shared" si="16"/>
        <v>183.11</v>
      </c>
    </row>
    <row r="225" spans="1:20" s="30" customFormat="1" x14ac:dyDescent="0.25">
      <c r="A225" s="24" t="s">
        <v>24</v>
      </c>
      <c r="B225" s="40"/>
      <c r="C225" s="40"/>
      <c r="D225" s="24"/>
      <c r="E225" s="24"/>
      <c r="F225" s="40" t="e">
        <f t="shared" si="15"/>
        <v>#REF!</v>
      </c>
      <c r="G225" s="40" t="e">
        <f t="shared" si="15"/>
        <v>#REF!</v>
      </c>
      <c r="H225" s="41"/>
      <c r="K225" s="30" t="str">
        <f>"""GP"",""Ute Indian Tribe Membership Fund"",""aaa_contract_detail_sp"",""JRNENTRY"",""1614921"",""aaGLHdrID"",""1782794"",""aaGLDistID"",""21"",""aaGLAssignID"",""1"",""contract"",""3460 92 URHS FY2025"""</f>
        <v>"GP","Ute Indian Tribe Membership Fund","aaa_contract_detail_sp","JRNENTRY","1614921","aaGLHdrID","1782794","aaGLDistID","21","aaGLAssignID","1","contract","3460 92 URHS FY2025"</v>
      </c>
      <c r="L225" s="42">
        <v>45855</v>
      </c>
      <c r="M225" s="30">
        <v>1614921</v>
      </c>
      <c r="N225" s="30" t="str">
        <f>""</f>
        <v/>
      </c>
      <c r="O225" s="30" t="str">
        <f>""</f>
        <v/>
      </c>
      <c r="P225" s="30" t="str">
        <f>""</f>
        <v/>
      </c>
      <c r="Q225" s="43" t="str">
        <f>""</f>
        <v/>
      </c>
      <c r="R225" s="44">
        <v>366.22</v>
      </c>
      <c r="S225" s="44">
        <v>0</v>
      </c>
      <c r="T225" s="45">
        <f t="shared" si="16"/>
        <v>366.22</v>
      </c>
    </row>
    <row r="226" spans="1:20" s="30" customFormat="1" x14ac:dyDescent="0.25">
      <c r="A226" s="24" t="s">
        <v>24</v>
      </c>
      <c r="B226" s="40"/>
      <c r="C226" s="40"/>
      <c r="D226" s="24"/>
      <c r="E226" s="24"/>
      <c r="F226" s="40" t="e">
        <f t="shared" si="15"/>
        <v>#REF!</v>
      </c>
      <c r="G226" s="40" t="e">
        <f t="shared" si="15"/>
        <v>#REF!</v>
      </c>
      <c r="H226" s="41"/>
      <c r="K226" s="30" t="str">
        <f>"""GP"",""Ute Indian Tribe Membership Fund"",""aaa_contract_detail_sp"",""JRNENTRY"",""1614925"",""aaGLHdrID"",""1782798"",""aaGLDistID"",""21"",""aaGLAssignID"",""1"",""contract"",""3460 92 URHS FY2025"""</f>
        <v>"GP","Ute Indian Tribe Membership Fund","aaa_contract_detail_sp","JRNENTRY","1614925","aaGLHdrID","1782798","aaGLDistID","21","aaGLAssignID","1","contract","3460 92 URHS FY2025"</v>
      </c>
      <c r="L226" s="42">
        <v>45855</v>
      </c>
      <c r="M226" s="30">
        <v>1614925</v>
      </c>
      <c r="N226" s="30" t="str">
        <f>""</f>
        <v/>
      </c>
      <c r="O226" s="30" t="str">
        <f>""</f>
        <v/>
      </c>
      <c r="P226" s="30" t="str">
        <f>""</f>
        <v/>
      </c>
      <c r="Q226" s="43" t="str">
        <f>""</f>
        <v/>
      </c>
      <c r="R226" s="44">
        <v>243.22</v>
      </c>
      <c r="S226" s="44">
        <v>0</v>
      </c>
      <c r="T226" s="45">
        <f t="shared" si="16"/>
        <v>243.22</v>
      </c>
    </row>
    <row r="227" spans="1:20" s="30" customFormat="1" x14ac:dyDescent="0.25">
      <c r="A227" s="24" t="s">
        <v>24</v>
      </c>
      <c r="B227" s="40"/>
      <c r="C227" s="40"/>
      <c r="D227" s="24"/>
      <c r="E227" s="24"/>
      <c r="F227" s="40" t="e">
        <f t="shared" si="15"/>
        <v>#REF!</v>
      </c>
      <c r="G227" s="40" t="e">
        <f t="shared" si="15"/>
        <v>#REF!</v>
      </c>
      <c r="H227" s="41"/>
      <c r="K227" s="30" t="str">
        <f>"""GP"",""Ute Indian Tribe Membership Fund"",""aaa_contract_detail_sp"",""JRNENTRY"",""1614925"",""aaGLHdrID"",""1782798"",""aaGLDistID"",""22"",""aaGLAssignID"",""1"",""contract"",""3460 92 URHS FY2025"""</f>
        <v>"GP","Ute Indian Tribe Membership Fund","aaa_contract_detail_sp","JRNENTRY","1614925","aaGLHdrID","1782798","aaGLDistID","22","aaGLAssignID","1","contract","3460 92 URHS FY2025"</v>
      </c>
      <c r="L227" s="42">
        <v>45855</v>
      </c>
      <c r="M227" s="30">
        <v>1614925</v>
      </c>
      <c r="N227" s="30" t="str">
        <f>""</f>
        <v/>
      </c>
      <c r="O227" s="30" t="str">
        <f>""</f>
        <v/>
      </c>
      <c r="P227" s="30" t="str">
        <f>""</f>
        <v/>
      </c>
      <c r="Q227" s="43" t="str">
        <f>""</f>
        <v/>
      </c>
      <c r="R227" s="44">
        <v>486.43</v>
      </c>
      <c r="S227" s="44">
        <v>0</v>
      </c>
      <c r="T227" s="45">
        <f t="shared" si="16"/>
        <v>486.43</v>
      </c>
    </row>
    <row r="228" spans="1:20" s="30" customFormat="1" x14ac:dyDescent="0.25">
      <c r="A228" s="24" t="s">
        <v>24</v>
      </c>
      <c r="B228" s="40"/>
      <c r="C228" s="40"/>
      <c r="D228" s="24"/>
      <c r="E228" s="24"/>
      <c r="F228" s="40" t="e">
        <f t="shared" si="15"/>
        <v>#REF!</v>
      </c>
      <c r="G228" s="40" t="e">
        <f t="shared" si="15"/>
        <v>#REF!</v>
      </c>
      <c r="H228" s="41"/>
      <c r="K228" s="30" t="str">
        <f>"""GP"",""Ute Indian Tribe Membership Fund"",""aaa_contract_detail_sp"",""JRNENTRY"",""1614965"",""aaGLHdrID"",""1782838"",""aaGLDistID"",""21"",""aaGLAssignID"",""1"",""contract"",""3460 92 URHS FY2025"""</f>
        <v>"GP","Ute Indian Tribe Membership Fund","aaa_contract_detail_sp","JRNENTRY","1614965","aaGLHdrID","1782838","aaGLDistID","21","aaGLAssignID","1","contract","3460 92 URHS FY2025"</v>
      </c>
      <c r="L228" s="42">
        <v>45855</v>
      </c>
      <c r="M228" s="30">
        <v>1614965</v>
      </c>
      <c r="N228" s="30" t="str">
        <f>""</f>
        <v/>
      </c>
      <c r="O228" s="30" t="str">
        <f>""</f>
        <v/>
      </c>
      <c r="P228" s="30" t="str">
        <f>""</f>
        <v/>
      </c>
      <c r="Q228" s="43" t="str">
        <f>""</f>
        <v/>
      </c>
      <c r="R228" s="44">
        <v>440.26</v>
      </c>
      <c r="S228" s="44">
        <v>0</v>
      </c>
      <c r="T228" s="45">
        <f t="shared" si="16"/>
        <v>440.26</v>
      </c>
    </row>
    <row r="229" spans="1:20" s="30" customFormat="1" x14ac:dyDescent="0.25">
      <c r="A229" s="24" t="s">
        <v>24</v>
      </c>
      <c r="B229" s="40"/>
      <c r="C229" s="40"/>
      <c r="D229" s="24"/>
      <c r="E229" s="24"/>
      <c r="F229" s="40" t="e">
        <f t="shared" si="15"/>
        <v>#REF!</v>
      </c>
      <c r="G229" s="40" t="e">
        <f t="shared" si="15"/>
        <v>#REF!</v>
      </c>
      <c r="H229" s="41"/>
      <c r="K229" s="30" t="str">
        <f>"""GP"",""Ute Indian Tribe Membership Fund"",""aaa_contract_detail_sp"",""JRNENTRY"",""1615066"",""aaGLHdrID"",""1782939"",""aaGLDistID"",""19"",""aaGLAssignID"",""1"",""contract"",""3460 92 URHS FY2025"""</f>
        <v>"GP","Ute Indian Tribe Membership Fund","aaa_contract_detail_sp","JRNENTRY","1615066","aaGLHdrID","1782939","aaGLDistID","19","aaGLAssignID","1","contract","3460 92 URHS FY2025"</v>
      </c>
      <c r="L229" s="42">
        <v>45855</v>
      </c>
      <c r="M229" s="30">
        <v>1615066</v>
      </c>
      <c r="N229" s="30" t="str">
        <f>""</f>
        <v/>
      </c>
      <c r="O229" s="30" t="str">
        <f>""</f>
        <v/>
      </c>
      <c r="P229" s="30" t="str">
        <f>""</f>
        <v/>
      </c>
      <c r="Q229" s="43" t="str">
        <f>""</f>
        <v/>
      </c>
      <c r="R229" s="44">
        <v>36</v>
      </c>
      <c r="S229" s="44">
        <v>0</v>
      </c>
      <c r="T229" s="45">
        <f t="shared" si="16"/>
        <v>36</v>
      </c>
    </row>
    <row r="230" spans="1:20" s="30" customFormat="1" x14ac:dyDescent="0.25">
      <c r="A230" s="24" t="s">
        <v>24</v>
      </c>
      <c r="B230" s="40"/>
      <c r="C230" s="40"/>
      <c r="D230" s="24"/>
      <c r="E230" s="24"/>
      <c r="F230" s="40" t="e">
        <f t="shared" si="15"/>
        <v>#REF!</v>
      </c>
      <c r="G230" s="40" t="e">
        <f t="shared" si="15"/>
        <v>#REF!</v>
      </c>
      <c r="H230" s="41"/>
      <c r="K230" s="30" t="str">
        <f>"""GP"",""Ute Indian Tribe Membership Fund"",""aaa_contract_detail_sp"",""JRNENTRY"",""1615086"",""aaGLHdrID"",""1782959"",""aaGLDistID"",""16"",""aaGLAssignID"",""1"",""contract"",""3460 92 URHS FY2025"""</f>
        <v>"GP","Ute Indian Tribe Membership Fund","aaa_contract_detail_sp","JRNENTRY","1615086","aaGLHdrID","1782959","aaGLDistID","16","aaGLAssignID","1","contract","3460 92 URHS FY2025"</v>
      </c>
      <c r="L230" s="42">
        <v>45855</v>
      </c>
      <c r="M230" s="30">
        <v>1615086</v>
      </c>
      <c r="N230" s="30" t="str">
        <f>""</f>
        <v/>
      </c>
      <c r="O230" s="30" t="str">
        <f>""</f>
        <v/>
      </c>
      <c r="P230" s="30" t="str">
        <f>""</f>
        <v/>
      </c>
      <c r="Q230" s="43" t="str">
        <f>""</f>
        <v/>
      </c>
      <c r="R230" s="44">
        <v>131.65</v>
      </c>
      <c r="S230" s="44">
        <v>0</v>
      </c>
      <c r="T230" s="45">
        <f t="shared" si="16"/>
        <v>131.65</v>
      </c>
    </row>
    <row r="231" spans="1:20" s="30" customFormat="1" x14ac:dyDescent="0.25">
      <c r="A231" s="24" t="s">
        <v>24</v>
      </c>
      <c r="B231" s="40"/>
      <c r="C231" s="40"/>
      <c r="D231" s="24"/>
      <c r="E231" s="24"/>
      <c r="F231" s="40" t="e">
        <f t="shared" si="15"/>
        <v>#REF!</v>
      </c>
      <c r="G231" s="40" t="e">
        <f t="shared" si="15"/>
        <v>#REF!</v>
      </c>
      <c r="H231" s="41"/>
      <c r="K231" s="30" t="str">
        <f>"""GP"",""Ute Indian Tribe Membership Fund"",""aaa_contract_detail_sp"",""JRNENTRY"",""1615159"",""aaGLHdrID"",""1783032"",""aaGLDistID"",""15"",""aaGLAssignID"",""1"",""contract"",""3460 92 URHS FY2025"""</f>
        <v>"GP","Ute Indian Tribe Membership Fund","aaa_contract_detail_sp","JRNENTRY","1615159","aaGLHdrID","1783032","aaGLDistID","15","aaGLAssignID","1","contract","3460 92 URHS FY2025"</v>
      </c>
      <c r="L231" s="42">
        <v>45855</v>
      </c>
      <c r="M231" s="30">
        <v>1615159</v>
      </c>
      <c r="N231" s="30" t="str">
        <f>""</f>
        <v/>
      </c>
      <c r="O231" s="30" t="str">
        <f>""</f>
        <v/>
      </c>
      <c r="P231" s="30" t="str">
        <f>""</f>
        <v/>
      </c>
      <c r="Q231" s="43" t="str">
        <f>""</f>
        <v/>
      </c>
      <c r="R231" s="44">
        <v>68.06</v>
      </c>
      <c r="S231" s="44">
        <v>0</v>
      </c>
      <c r="T231" s="45">
        <f t="shared" si="16"/>
        <v>68.06</v>
      </c>
    </row>
    <row r="232" spans="1:20" s="30" customFormat="1" x14ac:dyDescent="0.25">
      <c r="A232" s="24" t="s">
        <v>24</v>
      </c>
      <c r="B232" s="40"/>
      <c r="C232" s="40"/>
      <c r="D232" s="24"/>
      <c r="E232" s="24"/>
      <c r="F232" s="40" t="e">
        <f t="shared" si="15"/>
        <v>#REF!</v>
      </c>
      <c r="G232" s="40" t="e">
        <f t="shared" si="15"/>
        <v>#REF!</v>
      </c>
      <c r="H232" s="41"/>
      <c r="K232" s="30" t="str">
        <f>"""GP"",""Ute Indian Tribe Membership Fund"",""aaa_contract_detail_sp"",""JRNENTRY"",""1615166"",""aaGLHdrID"",""1783039"",""aaGLDistID"",""20"",""aaGLAssignID"",""1"",""contract"",""3460 92 URHS FY2025"""</f>
        <v>"GP","Ute Indian Tribe Membership Fund","aaa_contract_detail_sp","JRNENTRY","1615166","aaGLHdrID","1783039","aaGLDistID","20","aaGLAssignID","1","contract","3460 92 URHS FY2025"</v>
      </c>
      <c r="L232" s="42">
        <v>45855</v>
      </c>
      <c r="M232" s="30">
        <v>1615166</v>
      </c>
      <c r="N232" s="30" t="str">
        <f>""</f>
        <v/>
      </c>
      <c r="O232" s="30" t="str">
        <f>""</f>
        <v/>
      </c>
      <c r="P232" s="30" t="str">
        <f>""</f>
        <v/>
      </c>
      <c r="Q232" s="43" t="str">
        <f>""</f>
        <v/>
      </c>
      <c r="R232" s="44">
        <v>221.9</v>
      </c>
      <c r="S232" s="44">
        <v>0</v>
      </c>
      <c r="T232" s="45">
        <f t="shared" si="16"/>
        <v>221.9</v>
      </c>
    </row>
    <row r="233" spans="1:20" s="30" customFormat="1" x14ac:dyDescent="0.25">
      <c r="A233" s="24" t="s">
        <v>24</v>
      </c>
      <c r="B233" s="40"/>
      <c r="C233" s="40"/>
      <c r="D233" s="24"/>
      <c r="E233" s="24"/>
      <c r="F233" s="40" t="e">
        <f t="shared" si="15"/>
        <v>#REF!</v>
      </c>
      <c r="G233" s="40" t="e">
        <f t="shared" si="15"/>
        <v>#REF!</v>
      </c>
      <c r="H233" s="41"/>
      <c r="K233" s="30" t="str">
        <f>"""GP"",""Ute Indian Tribe Membership Fund"",""aaa_contract_detail_sp"",""JRNENTRY"",""1616675"",""aaGLHdrID"",""1784523"",""aaGLDistID"",""19"",""aaGLAssignID"",""1"",""contract"",""3460 92 URHS FY2025"""</f>
        <v>"GP","Ute Indian Tribe Membership Fund","aaa_contract_detail_sp","JRNENTRY","1616675","aaGLHdrID","1784523","aaGLDistID","19","aaGLAssignID","1","contract","3460 92 URHS FY2025"</v>
      </c>
      <c r="L233" s="42">
        <v>45869</v>
      </c>
      <c r="M233" s="30">
        <v>1616675</v>
      </c>
      <c r="N233" s="30" t="str">
        <f>""</f>
        <v/>
      </c>
      <c r="O233" s="30" t="str">
        <f>""</f>
        <v/>
      </c>
      <c r="P233" s="30" t="str">
        <f>""</f>
        <v/>
      </c>
      <c r="Q233" s="43" t="str">
        <f>""</f>
        <v/>
      </c>
      <c r="R233" s="44">
        <v>241.02</v>
      </c>
      <c r="S233" s="44">
        <v>0</v>
      </c>
      <c r="T233" s="45">
        <f t="shared" si="16"/>
        <v>241.02</v>
      </c>
    </row>
    <row r="234" spans="1:20" s="30" customFormat="1" x14ac:dyDescent="0.25">
      <c r="A234" s="24" t="s">
        <v>24</v>
      </c>
      <c r="B234" s="40"/>
      <c r="C234" s="40"/>
      <c r="D234" s="24"/>
      <c r="E234" s="24"/>
      <c r="F234" s="40" t="e">
        <f t="shared" si="15"/>
        <v>#REF!</v>
      </c>
      <c r="G234" s="40" t="e">
        <f t="shared" si="15"/>
        <v>#REF!</v>
      </c>
      <c r="H234" s="41"/>
      <c r="K234" s="30" t="str">
        <f>"""GP"",""Ute Indian Tribe Membership Fund"",""aaa_contract_detail_sp"",""JRNENTRY"",""1616675"",""aaGLHdrID"",""1784523"",""aaGLDistID"",""20"",""aaGLAssignID"",""1"",""contract"",""3460 92 URHS FY2025"""</f>
        <v>"GP","Ute Indian Tribe Membership Fund","aaa_contract_detail_sp","JRNENTRY","1616675","aaGLHdrID","1784523","aaGLDistID","20","aaGLAssignID","1","contract","3460 92 URHS FY2025"</v>
      </c>
      <c r="L234" s="42">
        <v>45869</v>
      </c>
      <c r="M234" s="30">
        <v>1616675</v>
      </c>
      <c r="N234" s="30" t="str">
        <f>""</f>
        <v/>
      </c>
      <c r="O234" s="30" t="str">
        <f>""</f>
        <v/>
      </c>
      <c r="P234" s="30" t="str">
        <f>""</f>
        <v/>
      </c>
      <c r="Q234" s="43" t="str">
        <f>""</f>
        <v/>
      </c>
      <c r="R234" s="44">
        <v>120.51</v>
      </c>
      <c r="S234" s="44">
        <v>0</v>
      </c>
      <c r="T234" s="45">
        <f t="shared" si="16"/>
        <v>120.51</v>
      </c>
    </row>
    <row r="235" spans="1:20" s="30" customFormat="1" x14ac:dyDescent="0.25">
      <c r="A235" s="24" t="s">
        <v>24</v>
      </c>
      <c r="B235" s="40"/>
      <c r="C235" s="40"/>
      <c r="D235" s="24"/>
      <c r="E235" s="24"/>
      <c r="F235" s="40" t="e">
        <f t="shared" si="15"/>
        <v>#REF!</v>
      </c>
      <c r="G235" s="40" t="e">
        <f t="shared" si="15"/>
        <v>#REF!</v>
      </c>
      <c r="H235" s="41"/>
      <c r="K235" s="30" t="str">
        <f>"""GP"",""Ute Indian Tribe Membership Fund"",""aaa_contract_detail_sp"",""JRNENTRY"",""1616741"",""aaGLHdrID"",""1784589"",""aaGLDistID"",""20"",""aaGLAssignID"",""1"",""contract"",""3460 92 URHS FY2025"""</f>
        <v>"GP","Ute Indian Tribe Membership Fund","aaa_contract_detail_sp","JRNENTRY","1616741","aaGLHdrID","1784589","aaGLDistID","20","aaGLAssignID","1","contract","3460 92 URHS FY2025"</v>
      </c>
      <c r="L235" s="42">
        <v>45869</v>
      </c>
      <c r="M235" s="30">
        <v>1616741</v>
      </c>
      <c r="N235" s="30" t="str">
        <f>""</f>
        <v/>
      </c>
      <c r="O235" s="30" t="str">
        <f>""</f>
        <v/>
      </c>
      <c r="P235" s="30" t="str">
        <f>""</f>
        <v/>
      </c>
      <c r="Q235" s="43" t="str">
        <f>""</f>
        <v/>
      </c>
      <c r="R235" s="44">
        <v>299.2</v>
      </c>
      <c r="S235" s="44">
        <v>0</v>
      </c>
      <c r="T235" s="45">
        <f t="shared" si="16"/>
        <v>299.2</v>
      </c>
    </row>
    <row r="236" spans="1:20" s="30" customFormat="1" x14ac:dyDescent="0.25">
      <c r="A236" s="24" t="s">
        <v>24</v>
      </c>
      <c r="B236" s="40"/>
      <c r="C236" s="40"/>
      <c r="D236" s="24"/>
      <c r="E236" s="24"/>
      <c r="F236" s="40" t="e">
        <f t="shared" si="15"/>
        <v>#REF!</v>
      </c>
      <c r="G236" s="40" t="e">
        <f t="shared" si="15"/>
        <v>#REF!</v>
      </c>
      <c r="H236" s="41"/>
      <c r="K236" s="30" t="str">
        <f>"""GP"",""Ute Indian Tribe Membership Fund"",""aaa_contract_detail_sp"",""JRNENTRY"",""1616741"",""aaGLHdrID"",""1784589"",""aaGLDistID"",""21"",""aaGLAssignID"",""1"",""contract"",""3460 92 URHS FY2025"""</f>
        <v>"GP","Ute Indian Tribe Membership Fund","aaa_contract_detail_sp","JRNENTRY","1616741","aaGLHdrID","1784589","aaGLDistID","21","aaGLAssignID","1","contract","3460 92 URHS FY2025"</v>
      </c>
      <c r="L236" s="42">
        <v>45869</v>
      </c>
      <c r="M236" s="30">
        <v>1616741</v>
      </c>
      <c r="N236" s="30" t="str">
        <f>""</f>
        <v/>
      </c>
      <c r="O236" s="30" t="str">
        <f>""</f>
        <v/>
      </c>
      <c r="P236" s="30" t="str">
        <f>""</f>
        <v/>
      </c>
      <c r="Q236" s="43" t="str">
        <f>""</f>
        <v/>
      </c>
      <c r="R236" s="44">
        <v>149.6</v>
      </c>
      <c r="S236" s="44">
        <v>0</v>
      </c>
      <c r="T236" s="45">
        <f t="shared" si="16"/>
        <v>149.6</v>
      </c>
    </row>
    <row r="237" spans="1:20" s="30" customFormat="1" x14ac:dyDescent="0.25">
      <c r="A237" s="24" t="s">
        <v>24</v>
      </c>
      <c r="B237" s="40"/>
      <c r="C237" s="40"/>
      <c r="D237" s="24"/>
      <c r="E237" s="24"/>
      <c r="F237" s="40" t="e">
        <f t="shared" si="15"/>
        <v>#REF!</v>
      </c>
      <c r="G237" s="40" t="e">
        <f t="shared" si="15"/>
        <v>#REF!</v>
      </c>
      <c r="H237" s="41"/>
      <c r="K237" s="30" t="str">
        <f>"""GP"",""Ute Indian Tribe Membership Fund"",""aaa_contract_detail_sp"",""JRNENTRY"",""1616765"",""aaGLHdrID"",""1784613"",""aaGLDistID"",""22"",""aaGLAssignID"",""1"",""contract"",""3460 92 URHS FY2025"""</f>
        <v>"GP","Ute Indian Tribe Membership Fund","aaa_contract_detail_sp","JRNENTRY","1616765","aaGLHdrID","1784613","aaGLDistID","22","aaGLAssignID","1","contract","3460 92 URHS FY2025"</v>
      </c>
      <c r="L237" s="42">
        <v>45869</v>
      </c>
      <c r="M237" s="30">
        <v>1616765</v>
      </c>
      <c r="N237" s="30" t="str">
        <f>""</f>
        <v/>
      </c>
      <c r="O237" s="30" t="str">
        <f>""</f>
        <v/>
      </c>
      <c r="P237" s="30" t="str">
        <f>""</f>
        <v/>
      </c>
      <c r="Q237" s="43" t="str">
        <f>""</f>
        <v/>
      </c>
      <c r="R237" s="44">
        <v>284.99</v>
      </c>
      <c r="S237" s="44">
        <v>0</v>
      </c>
      <c r="T237" s="45">
        <f t="shared" si="16"/>
        <v>284.99</v>
      </c>
    </row>
    <row r="238" spans="1:20" s="30" customFormat="1" x14ac:dyDescent="0.25">
      <c r="A238" s="24" t="s">
        <v>24</v>
      </c>
      <c r="B238" s="40"/>
      <c r="C238" s="40"/>
      <c r="D238" s="24"/>
      <c r="E238" s="24"/>
      <c r="F238" s="40" t="e">
        <f t="shared" si="15"/>
        <v>#REF!</v>
      </c>
      <c r="G238" s="40" t="e">
        <f t="shared" si="15"/>
        <v>#REF!</v>
      </c>
      <c r="H238" s="41"/>
      <c r="K238" s="30" t="str">
        <f>"""GP"",""Ute Indian Tribe Membership Fund"",""aaa_contract_detail_sp"",""JRNENTRY"",""1616825"",""aaGLHdrID"",""1784673"",""aaGLDistID"",""17"",""aaGLAssignID"",""1"",""contract"",""3460 92 URHS FY2025"""</f>
        <v>"GP","Ute Indian Tribe Membership Fund","aaa_contract_detail_sp","JRNENTRY","1616825","aaGLHdrID","1784673","aaGLDistID","17","aaGLAssignID","1","contract","3460 92 URHS FY2025"</v>
      </c>
      <c r="L238" s="42">
        <v>45869</v>
      </c>
      <c r="M238" s="30">
        <v>1616825</v>
      </c>
      <c r="N238" s="30" t="str">
        <f>""</f>
        <v/>
      </c>
      <c r="O238" s="30" t="str">
        <f>""</f>
        <v/>
      </c>
      <c r="P238" s="30" t="str">
        <f>""</f>
        <v/>
      </c>
      <c r="Q238" s="43" t="str">
        <f>""</f>
        <v/>
      </c>
      <c r="R238" s="44">
        <v>284.99</v>
      </c>
      <c r="S238" s="44">
        <v>0</v>
      </c>
      <c r="T238" s="45">
        <f t="shared" si="16"/>
        <v>284.99</v>
      </c>
    </row>
    <row r="239" spans="1:20" s="30" customFormat="1" x14ac:dyDescent="0.25">
      <c r="A239" s="24" t="s">
        <v>24</v>
      </c>
      <c r="B239" s="40"/>
      <c r="C239" s="40"/>
      <c r="D239" s="24"/>
      <c r="E239" s="24"/>
      <c r="F239" s="40" t="e">
        <f t="shared" si="15"/>
        <v>#REF!</v>
      </c>
      <c r="G239" s="40" t="e">
        <f t="shared" si="15"/>
        <v>#REF!</v>
      </c>
      <c r="H239" s="41"/>
      <c r="K239" s="30" t="str">
        <f>"""GP"",""Ute Indian Tribe Membership Fund"",""aaa_contract_detail_sp"",""JRNENTRY"",""1616826"",""aaGLHdrID"",""1784674"",""aaGLDistID"",""19"",""aaGLAssignID"",""1"",""contract"",""3460 92 URHS FY2025"""</f>
        <v>"GP","Ute Indian Tribe Membership Fund","aaa_contract_detail_sp","JRNENTRY","1616826","aaGLHdrID","1784674","aaGLDistID","19","aaGLAssignID","1","contract","3460 92 URHS FY2025"</v>
      </c>
      <c r="L239" s="42">
        <v>45869</v>
      </c>
      <c r="M239" s="30">
        <v>1616826</v>
      </c>
      <c r="N239" s="30" t="str">
        <f>""</f>
        <v/>
      </c>
      <c r="O239" s="30" t="str">
        <f>""</f>
        <v/>
      </c>
      <c r="P239" s="30" t="str">
        <f>""</f>
        <v/>
      </c>
      <c r="Q239" s="43" t="str">
        <f>""</f>
        <v/>
      </c>
      <c r="R239" s="44">
        <v>324.22000000000003</v>
      </c>
      <c r="S239" s="44">
        <v>0</v>
      </c>
      <c r="T239" s="45">
        <f t="shared" si="16"/>
        <v>324.22000000000003</v>
      </c>
    </row>
    <row r="240" spans="1:20" s="30" customFormat="1" x14ac:dyDescent="0.25">
      <c r="A240" s="24" t="s">
        <v>24</v>
      </c>
      <c r="B240" s="40"/>
      <c r="C240" s="40"/>
      <c r="D240" s="24"/>
      <c r="E240" s="24"/>
      <c r="F240" s="40" t="e">
        <f t="shared" si="15"/>
        <v>#REF!</v>
      </c>
      <c r="G240" s="40" t="e">
        <f t="shared" si="15"/>
        <v>#REF!</v>
      </c>
      <c r="H240" s="41"/>
      <c r="K240" s="30" t="str">
        <f>"""GP"",""Ute Indian Tribe Membership Fund"",""aaa_contract_detail_sp"",""JRNENTRY"",""1616826"",""aaGLHdrID"",""1784674"",""aaGLDistID"",""20"",""aaGLAssignID"",""1"",""contract"",""3460 92 URHS FY2025"""</f>
        <v>"GP","Ute Indian Tribe Membership Fund","aaa_contract_detail_sp","JRNENTRY","1616826","aaGLHdrID","1784674","aaGLDistID","20","aaGLAssignID","1","contract","3460 92 URHS FY2025"</v>
      </c>
      <c r="L240" s="42">
        <v>45869</v>
      </c>
      <c r="M240" s="30">
        <v>1616826</v>
      </c>
      <c r="N240" s="30" t="str">
        <f>""</f>
        <v/>
      </c>
      <c r="O240" s="30" t="str">
        <f>""</f>
        <v/>
      </c>
      <c r="P240" s="30" t="str">
        <f>""</f>
        <v/>
      </c>
      <c r="Q240" s="43" t="str">
        <f>""</f>
        <v/>
      </c>
      <c r="R240" s="44">
        <v>162.11000000000001</v>
      </c>
      <c r="S240" s="44">
        <v>0</v>
      </c>
      <c r="T240" s="45">
        <f t="shared" si="16"/>
        <v>162.11000000000001</v>
      </c>
    </row>
    <row r="241" spans="1:20" s="30" customFormat="1" x14ac:dyDescent="0.25">
      <c r="A241" s="24" t="s">
        <v>24</v>
      </c>
      <c r="B241" s="40"/>
      <c r="C241" s="40"/>
      <c r="D241" s="24"/>
      <c r="E241" s="24"/>
      <c r="F241" s="40" t="e">
        <f t="shared" si="15"/>
        <v>#REF!</v>
      </c>
      <c r="G241" s="40" t="e">
        <f t="shared" si="15"/>
        <v>#REF!</v>
      </c>
      <c r="H241" s="41"/>
      <c r="K241" s="30" t="str">
        <f>"""GP"",""Ute Indian Tribe Membership Fund"",""aaa_contract_detail_sp"",""JRNENTRY"",""1616830"",""aaGLHdrID"",""1784678"",""aaGLDistID"",""20"",""aaGLAssignID"",""1"",""contract"",""3460 92 URHS FY2025"""</f>
        <v>"GP","Ute Indian Tribe Membership Fund","aaa_contract_detail_sp","JRNENTRY","1616830","aaGLHdrID","1784678","aaGLDistID","20","aaGLAssignID","1","contract","3460 92 URHS FY2025"</v>
      </c>
      <c r="L241" s="42">
        <v>45869</v>
      </c>
      <c r="M241" s="30">
        <v>1616830</v>
      </c>
      <c r="N241" s="30" t="str">
        <f>""</f>
        <v/>
      </c>
      <c r="O241" s="30" t="str">
        <f>""</f>
        <v/>
      </c>
      <c r="P241" s="30" t="str">
        <f>""</f>
        <v/>
      </c>
      <c r="Q241" s="43" t="str">
        <f>""</f>
        <v/>
      </c>
      <c r="R241" s="44">
        <v>402.43</v>
      </c>
      <c r="S241" s="44">
        <v>0</v>
      </c>
      <c r="T241" s="45">
        <f t="shared" si="16"/>
        <v>402.43</v>
      </c>
    </row>
    <row r="242" spans="1:20" s="30" customFormat="1" x14ac:dyDescent="0.25">
      <c r="A242" s="24" t="s">
        <v>24</v>
      </c>
      <c r="B242" s="40"/>
      <c r="C242" s="40"/>
      <c r="D242" s="24"/>
      <c r="E242" s="24"/>
      <c r="F242" s="40" t="e">
        <f t="shared" si="15"/>
        <v>#REF!</v>
      </c>
      <c r="G242" s="40" t="e">
        <f t="shared" si="15"/>
        <v>#REF!</v>
      </c>
      <c r="H242" s="41"/>
      <c r="K242" s="30" t="str">
        <f>"""GP"",""Ute Indian Tribe Membership Fund"",""aaa_contract_detail_sp"",""JRNENTRY"",""1616830"",""aaGLHdrID"",""1784678"",""aaGLDistID"",""21"",""aaGLAssignID"",""1"",""contract"",""3460 92 URHS FY2025"""</f>
        <v>"GP","Ute Indian Tribe Membership Fund","aaa_contract_detail_sp","JRNENTRY","1616830","aaGLHdrID","1784678","aaGLDistID","21","aaGLAssignID","1","contract","3460 92 URHS FY2025"</v>
      </c>
      <c r="L242" s="42">
        <v>45869</v>
      </c>
      <c r="M242" s="30">
        <v>1616830</v>
      </c>
      <c r="N242" s="30" t="str">
        <f>""</f>
        <v/>
      </c>
      <c r="O242" s="30" t="str">
        <f>""</f>
        <v/>
      </c>
      <c r="P242" s="30" t="str">
        <f>""</f>
        <v/>
      </c>
      <c r="Q242" s="43" t="str">
        <f>""</f>
        <v/>
      </c>
      <c r="R242" s="44">
        <v>201.22</v>
      </c>
      <c r="S242" s="44">
        <v>0</v>
      </c>
      <c r="T242" s="45">
        <f t="shared" si="16"/>
        <v>201.22</v>
      </c>
    </row>
    <row r="243" spans="1:20" s="30" customFormat="1" x14ac:dyDescent="0.25">
      <c r="A243" s="24" t="s">
        <v>24</v>
      </c>
      <c r="B243" s="40"/>
      <c r="C243" s="40"/>
      <c r="D243" s="24"/>
      <c r="E243" s="24"/>
      <c r="F243" s="40" t="e">
        <f t="shared" si="15"/>
        <v>#REF!</v>
      </c>
      <c r="G243" s="40" t="e">
        <f t="shared" si="15"/>
        <v>#REF!</v>
      </c>
      <c r="H243" s="41"/>
      <c r="K243" s="30" t="str">
        <f>"""GP"",""Ute Indian Tribe Membership Fund"",""aaa_contract_detail_sp"",""JRNENTRY"",""1616870"",""aaGLHdrID"",""1784718"",""aaGLDistID"",""20"",""aaGLAssignID"",""1"",""contract"",""3460 92 URHS FY2025"""</f>
        <v>"GP","Ute Indian Tribe Membership Fund","aaa_contract_detail_sp","JRNENTRY","1616870","aaGLHdrID","1784718","aaGLDistID","20","aaGLAssignID","1","contract","3460 92 URHS FY2025"</v>
      </c>
      <c r="L243" s="42">
        <v>45869</v>
      </c>
      <c r="M243" s="30">
        <v>1616870</v>
      </c>
      <c r="N243" s="30" t="str">
        <f>""</f>
        <v/>
      </c>
      <c r="O243" s="30" t="str">
        <f>""</f>
        <v/>
      </c>
      <c r="P243" s="30" t="str">
        <f>""</f>
        <v/>
      </c>
      <c r="Q243" s="43" t="str">
        <f>""</f>
        <v/>
      </c>
      <c r="R243" s="44">
        <v>256.26</v>
      </c>
      <c r="S243" s="44">
        <v>0</v>
      </c>
      <c r="T243" s="45">
        <f t="shared" si="16"/>
        <v>256.26</v>
      </c>
    </row>
    <row r="244" spans="1:20" s="30" customFormat="1" x14ac:dyDescent="0.25">
      <c r="A244" s="24" t="s">
        <v>24</v>
      </c>
      <c r="B244" s="40"/>
      <c r="C244" s="40"/>
      <c r="D244" s="24"/>
      <c r="E244" s="24"/>
      <c r="F244" s="40" t="e">
        <f t="shared" si="15"/>
        <v>#REF!</v>
      </c>
      <c r="G244" s="40" t="e">
        <f t="shared" si="15"/>
        <v>#REF!</v>
      </c>
      <c r="H244" s="41"/>
      <c r="K244" s="30" t="str">
        <f>"""GP"",""Ute Indian Tribe Membership Fund"",""aaa_contract_detail_sp"",""JRNENTRY"",""1616979"",""aaGLHdrID"",""1784827"",""aaGLDistID"",""19"",""aaGLAssignID"",""1"",""contract"",""3460 92 URHS FY2025"""</f>
        <v>"GP","Ute Indian Tribe Membership Fund","aaa_contract_detail_sp","JRNENTRY","1616979","aaGLHdrID","1784827","aaGLDistID","19","aaGLAssignID","1","contract","3460 92 URHS FY2025"</v>
      </c>
      <c r="L244" s="42">
        <v>45869</v>
      </c>
      <c r="M244" s="30">
        <v>1616979</v>
      </c>
      <c r="N244" s="30" t="str">
        <f>""</f>
        <v/>
      </c>
      <c r="O244" s="30" t="str">
        <f>""</f>
        <v/>
      </c>
      <c r="P244" s="30" t="str">
        <f>""</f>
        <v/>
      </c>
      <c r="Q244" s="43" t="str">
        <f>""</f>
        <v/>
      </c>
      <c r="R244" s="44">
        <v>110.05</v>
      </c>
      <c r="S244" s="44">
        <v>0</v>
      </c>
      <c r="T244" s="45">
        <f t="shared" si="16"/>
        <v>110.05</v>
      </c>
    </row>
    <row r="245" spans="1:20" s="30" customFormat="1" x14ac:dyDescent="0.25">
      <c r="A245" s="24" t="s">
        <v>24</v>
      </c>
      <c r="B245" s="40"/>
      <c r="C245" s="40"/>
      <c r="D245" s="24"/>
      <c r="E245" s="24"/>
      <c r="F245" s="40" t="e">
        <f t="shared" si="15"/>
        <v>#REF!</v>
      </c>
      <c r="G245" s="40" t="e">
        <f t="shared" si="15"/>
        <v>#REF!</v>
      </c>
      <c r="H245" s="41"/>
      <c r="K245" s="30" t="str">
        <f>"""GP"",""Ute Indian Tribe Membership Fund"",""aaa_contract_detail_sp"",""JRNENTRY"",""1617000"",""aaGLHdrID"",""1784848"",""aaGLDistID"",""16"",""aaGLAssignID"",""1"",""contract"",""3460 92 URHS FY2025"""</f>
        <v>"GP","Ute Indian Tribe Membership Fund","aaa_contract_detail_sp","JRNENTRY","1617000","aaGLHdrID","1784848","aaGLDistID","16","aaGLAssignID","1","contract","3460 92 URHS FY2025"</v>
      </c>
      <c r="L245" s="42">
        <v>45869</v>
      </c>
      <c r="M245" s="30">
        <v>1617000</v>
      </c>
      <c r="N245" s="30" t="str">
        <f>""</f>
        <v/>
      </c>
      <c r="O245" s="30" t="str">
        <f>""</f>
        <v/>
      </c>
      <c r="P245" s="30" t="str">
        <f>""</f>
        <v/>
      </c>
      <c r="Q245" s="43" t="str">
        <f>""</f>
        <v/>
      </c>
      <c r="R245" s="44">
        <v>131.65</v>
      </c>
      <c r="S245" s="44">
        <v>0</v>
      </c>
      <c r="T245" s="45">
        <f t="shared" si="16"/>
        <v>131.65</v>
      </c>
    </row>
    <row r="246" spans="1:20" s="30" customFormat="1" x14ac:dyDescent="0.25">
      <c r="A246" s="24" t="s">
        <v>24</v>
      </c>
      <c r="B246" s="40"/>
      <c r="C246" s="40"/>
      <c r="D246" s="24"/>
      <c r="E246" s="24"/>
      <c r="F246" s="40" t="e">
        <f t="shared" si="15"/>
        <v>#REF!</v>
      </c>
      <c r="G246" s="40" t="e">
        <f t="shared" si="15"/>
        <v>#REF!</v>
      </c>
      <c r="H246" s="41"/>
      <c r="K246" s="30" t="str">
        <f>"""GP"",""Ute Indian Tribe Membership Fund"",""aaa_contract_detail_sp"",""JRNENTRY"",""1617079"",""aaGLHdrID"",""1784927"",""aaGLDistID"",""15"",""aaGLAssignID"",""1"",""contract"",""3460 92 URHS FY2025"""</f>
        <v>"GP","Ute Indian Tribe Membership Fund","aaa_contract_detail_sp","JRNENTRY","1617079","aaGLHdrID","1784927","aaGLDistID","15","aaGLAssignID","1","contract","3460 92 URHS FY2025"</v>
      </c>
      <c r="L246" s="42">
        <v>45869</v>
      </c>
      <c r="M246" s="30">
        <v>1617079</v>
      </c>
      <c r="N246" s="30" t="str">
        <f>""</f>
        <v/>
      </c>
      <c r="O246" s="30" t="str">
        <f>""</f>
        <v/>
      </c>
      <c r="P246" s="30" t="str">
        <f>""</f>
        <v/>
      </c>
      <c r="Q246" s="43" t="str">
        <f>""</f>
        <v/>
      </c>
      <c r="R246" s="44">
        <v>68.06</v>
      </c>
      <c r="S246" s="44">
        <v>0</v>
      </c>
      <c r="T246" s="45">
        <f t="shared" si="16"/>
        <v>68.06</v>
      </c>
    </row>
    <row r="247" spans="1:20" s="30" customFormat="1" x14ac:dyDescent="0.25">
      <c r="A247" s="24" t="s">
        <v>24</v>
      </c>
      <c r="B247" s="40"/>
      <c r="C247" s="40"/>
      <c r="D247" s="24"/>
      <c r="E247" s="24"/>
      <c r="F247" s="40" t="e">
        <f t="shared" si="15"/>
        <v>#REF!</v>
      </c>
      <c r="G247" s="40" t="e">
        <f t="shared" si="15"/>
        <v>#REF!</v>
      </c>
      <c r="H247" s="41"/>
      <c r="K247" s="30" t="str">
        <f>"""GP"",""Ute Indian Tribe Membership Fund"",""aaa_contract_detail_sp"",""JRNENTRY"",""1617086"",""aaGLHdrID"",""1784934"",""aaGLDistID"",""19"",""aaGLAssignID"",""1"",""contract"",""3460 92 URHS FY2025"""</f>
        <v>"GP","Ute Indian Tribe Membership Fund","aaa_contract_detail_sp","JRNENTRY","1617086","aaGLHdrID","1784934","aaGLDistID","19","aaGLAssignID","1","contract","3460 92 URHS FY2025"</v>
      </c>
      <c r="L247" s="42">
        <v>45869</v>
      </c>
      <c r="M247" s="30">
        <v>1617086</v>
      </c>
      <c r="N247" s="30" t="str">
        <f>""</f>
        <v/>
      </c>
      <c r="O247" s="30" t="str">
        <f>""</f>
        <v/>
      </c>
      <c r="P247" s="30" t="str">
        <f>""</f>
        <v/>
      </c>
      <c r="Q247" s="43" t="str">
        <f>""</f>
        <v/>
      </c>
      <c r="R247" s="44">
        <v>83.78</v>
      </c>
      <c r="S247" s="44">
        <v>0</v>
      </c>
      <c r="T247" s="45">
        <f t="shared" si="16"/>
        <v>83.78</v>
      </c>
    </row>
    <row r="248" spans="1:20" s="30" customFormat="1" x14ac:dyDescent="0.25">
      <c r="A248" s="24" t="s">
        <v>24</v>
      </c>
      <c r="B248" s="40"/>
      <c r="C248" s="40"/>
      <c r="D248" s="24"/>
      <c r="E248" s="24"/>
      <c r="F248" s="40" t="e">
        <f t="shared" si="15"/>
        <v>#REF!</v>
      </c>
      <c r="G248" s="40" t="e">
        <f t="shared" si="15"/>
        <v>#REF!</v>
      </c>
      <c r="H248" s="41"/>
      <c r="K248" s="30" t="str">
        <f>"""GP"",""Ute Indian Tribe Membership Fund"",""aaa_contract_detail_sp"",""JRNENTRY"",""1619591"",""aaGLHdrID"",""1787735"",""aaGLDistID"",""19"",""aaGLAssignID"",""1"",""contract"",""3460 92 URHS FY2025"""</f>
        <v>"GP","Ute Indian Tribe Membership Fund","aaa_contract_detail_sp","JRNENTRY","1619591","aaGLHdrID","1787735","aaGLDistID","19","aaGLAssignID","1","contract","3460 92 URHS FY2025"</v>
      </c>
      <c r="L248" s="42">
        <v>45883</v>
      </c>
      <c r="M248" s="30">
        <v>1619591</v>
      </c>
      <c r="N248" s="30" t="str">
        <f>""</f>
        <v/>
      </c>
      <c r="O248" s="30" t="str">
        <f>""</f>
        <v/>
      </c>
      <c r="P248" s="30" t="str">
        <f>""</f>
        <v/>
      </c>
      <c r="Q248" s="43" t="str">
        <f>""</f>
        <v/>
      </c>
      <c r="R248" s="44">
        <v>241.02</v>
      </c>
      <c r="S248" s="44">
        <v>0</v>
      </c>
      <c r="T248" s="45">
        <f t="shared" si="16"/>
        <v>241.02</v>
      </c>
    </row>
    <row r="249" spans="1:20" s="30" customFormat="1" x14ac:dyDescent="0.25">
      <c r="A249" s="24" t="s">
        <v>24</v>
      </c>
      <c r="B249" s="40"/>
      <c r="C249" s="40"/>
      <c r="D249" s="24"/>
      <c r="E249" s="24"/>
      <c r="F249" s="40" t="e">
        <f t="shared" si="15"/>
        <v>#REF!</v>
      </c>
      <c r="G249" s="40" t="e">
        <f t="shared" si="15"/>
        <v>#REF!</v>
      </c>
      <c r="H249" s="41"/>
      <c r="K249" s="30" t="str">
        <f>"""GP"",""Ute Indian Tribe Membership Fund"",""aaa_contract_detail_sp"",""JRNENTRY"",""1619591"",""aaGLHdrID"",""1787735"",""aaGLDistID"",""20"",""aaGLAssignID"",""1"",""contract"",""3460 92 URHS FY2025"""</f>
        <v>"GP","Ute Indian Tribe Membership Fund","aaa_contract_detail_sp","JRNENTRY","1619591","aaGLHdrID","1787735","aaGLDistID","20","aaGLAssignID","1","contract","3460 92 URHS FY2025"</v>
      </c>
      <c r="L249" s="42">
        <v>45883</v>
      </c>
      <c r="M249" s="30">
        <v>1619591</v>
      </c>
      <c r="N249" s="30" t="str">
        <f>""</f>
        <v/>
      </c>
      <c r="O249" s="30" t="str">
        <f>""</f>
        <v/>
      </c>
      <c r="P249" s="30" t="str">
        <f>""</f>
        <v/>
      </c>
      <c r="Q249" s="43" t="str">
        <f>""</f>
        <v/>
      </c>
      <c r="R249" s="44">
        <v>120.51</v>
      </c>
      <c r="S249" s="44">
        <v>0</v>
      </c>
      <c r="T249" s="45">
        <f t="shared" si="16"/>
        <v>120.51</v>
      </c>
    </row>
    <row r="250" spans="1:20" s="30" customFormat="1" x14ac:dyDescent="0.25">
      <c r="A250" s="24" t="s">
        <v>24</v>
      </c>
      <c r="B250" s="40"/>
      <c r="C250" s="40"/>
      <c r="D250" s="24"/>
      <c r="E250" s="24"/>
      <c r="F250" s="40" t="e">
        <f t="shared" si="15"/>
        <v>#REF!</v>
      </c>
      <c r="G250" s="40" t="e">
        <f t="shared" si="15"/>
        <v>#REF!</v>
      </c>
      <c r="H250" s="41"/>
      <c r="K250" s="30" t="str">
        <f>"""GP"",""Ute Indian Tribe Membership Fund"",""aaa_contract_detail_sp"",""JRNENTRY"",""1619659"",""aaGLHdrID"",""1787803"",""aaGLDistID"",""20"",""aaGLAssignID"",""1"",""contract"",""3460 92 URHS FY2025"""</f>
        <v>"GP","Ute Indian Tribe Membership Fund","aaa_contract_detail_sp","JRNENTRY","1619659","aaGLHdrID","1787803","aaGLDistID","20","aaGLAssignID","1","contract","3460 92 URHS FY2025"</v>
      </c>
      <c r="L250" s="42">
        <v>45883</v>
      </c>
      <c r="M250" s="30">
        <v>1619659</v>
      </c>
      <c r="N250" s="30" t="str">
        <f>""</f>
        <v/>
      </c>
      <c r="O250" s="30" t="str">
        <f>""</f>
        <v/>
      </c>
      <c r="P250" s="30" t="str">
        <f>""</f>
        <v/>
      </c>
      <c r="Q250" s="43" t="str">
        <f>""</f>
        <v/>
      </c>
      <c r="R250" s="44">
        <v>299.2</v>
      </c>
      <c r="S250" s="44">
        <v>0</v>
      </c>
      <c r="T250" s="45">
        <f t="shared" si="16"/>
        <v>299.2</v>
      </c>
    </row>
    <row r="251" spans="1:20" s="30" customFormat="1" x14ac:dyDescent="0.25">
      <c r="A251" s="24" t="s">
        <v>24</v>
      </c>
      <c r="B251" s="40"/>
      <c r="C251" s="40"/>
      <c r="D251" s="24"/>
      <c r="E251" s="24"/>
      <c r="F251" s="40" t="e">
        <f t="shared" si="15"/>
        <v>#REF!</v>
      </c>
      <c r="G251" s="40" t="e">
        <f t="shared" si="15"/>
        <v>#REF!</v>
      </c>
      <c r="H251" s="41"/>
      <c r="K251" s="30" t="str">
        <f>"""GP"",""Ute Indian Tribe Membership Fund"",""aaa_contract_detail_sp"",""JRNENTRY"",""1619659"",""aaGLHdrID"",""1787803"",""aaGLDistID"",""21"",""aaGLAssignID"",""1"",""contract"",""3460 92 URHS FY2025"""</f>
        <v>"GP","Ute Indian Tribe Membership Fund","aaa_contract_detail_sp","JRNENTRY","1619659","aaGLHdrID","1787803","aaGLDistID","21","aaGLAssignID","1","contract","3460 92 URHS FY2025"</v>
      </c>
      <c r="L251" s="42">
        <v>45883</v>
      </c>
      <c r="M251" s="30">
        <v>1619659</v>
      </c>
      <c r="N251" s="30" t="str">
        <f>""</f>
        <v/>
      </c>
      <c r="O251" s="30" t="str">
        <f>""</f>
        <v/>
      </c>
      <c r="P251" s="30" t="str">
        <f>""</f>
        <v/>
      </c>
      <c r="Q251" s="43" t="str">
        <f>""</f>
        <v/>
      </c>
      <c r="R251" s="44">
        <v>149.6</v>
      </c>
      <c r="S251" s="44">
        <v>0</v>
      </c>
      <c r="T251" s="45">
        <f t="shared" si="16"/>
        <v>149.6</v>
      </c>
    </row>
    <row r="252" spans="1:20" s="30" customFormat="1" x14ac:dyDescent="0.25">
      <c r="A252" s="24" t="s">
        <v>24</v>
      </c>
      <c r="B252" s="40"/>
      <c r="C252" s="40"/>
      <c r="D252" s="24"/>
      <c r="E252" s="24"/>
      <c r="F252" s="40" t="e">
        <f t="shared" si="15"/>
        <v>#REF!</v>
      </c>
      <c r="G252" s="40" t="e">
        <f t="shared" si="15"/>
        <v>#REF!</v>
      </c>
      <c r="H252" s="41"/>
      <c r="K252" s="30" t="str">
        <f>"""GP"",""Ute Indian Tribe Membership Fund"",""aaa_contract_detail_sp"",""JRNENTRY"",""1619683"",""aaGLHdrID"",""1787827"",""aaGLDistID"",""23"",""aaGLAssignID"",""1"",""contract"",""3460 92 URHS FY2025"""</f>
        <v>"GP","Ute Indian Tribe Membership Fund","aaa_contract_detail_sp","JRNENTRY","1619683","aaGLHdrID","1787827","aaGLDistID","23","aaGLAssignID","1","contract","3460 92 URHS FY2025"</v>
      </c>
      <c r="L252" s="42">
        <v>45883</v>
      </c>
      <c r="M252" s="30">
        <v>1619683</v>
      </c>
      <c r="N252" s="30" t="str">
        <f>""</f>
        <v/>
      </c>
      <c r="O252" s="30" t="str">
        <f>""</f>
        <v/>
      </c>
      <c r="P252" s="30" t="str">
        <f>""</f>
        <v/>
      </c>
      <c r="Q252" s="43" t="str">
        <f>""</f>
        <v/>
      </c>
      <c r="R252" s="44">
        <v>881.1</v>
      </c>
      <c r="S252" s="44">
        <v>0</v>
      </c>
      <c r="T252" s="45">
        <f t="shared" si="16"/>
        <v>881.1</v>
      </c>
    </row>
    <row r="253" spans="1:20" s="30" customFormat="1" x14ac:dyDescent="0.25">
      <c r="A253" s="24" t="s">
        <v>24</v>
      </c>
      <c r="B253" s="40"/>
      <c r="C253" s="40"/>
      <c r="D253" s="24"/>
      <c r="E253" s="24"/>
      <c r="F253" s="40" t="e">
        <f t="shared" si="15"/>
        <v>#REF!</v>
      </c>
      <c r="G253" s="40" t="e">
        <f t="shared" si="15"/>
        <v>#REF!</v>
      </c>
      <c r="H253" s="41"/>
      <c r="K253" s="30" t="str">
        <f>"""GP"",""Ute Indian Tribe Membership Fund"",""aaa_contract_detail_sp"",""JRNENTRY"",""1619744"",""aaGLHdrID"",""1787888"",""aaGLDistID"",""17"",""aaGLAssignID"",""1"",""contract"",""3460 92 URHS FY2025"""</f>
        <v>"GP","Ute Indian Tribe Membership Fund","aaa_contract_detail_sp","JRNENTRY","1619744","aaGLHdrID","1787888","aaGLDistID","17","aaGLAssignID","1","contract","3460 92 URHS FY2025"</v>
      </c>
      <c r="L253" s="42">
        <v>45883</v>
      </c>
      <c r="M253" s="30">
        <v>1619744</v>
      </c>
      <c r="N253" s="30" t="str">
        <f>""</f>
        <v/>
      </c>
      <c r="O253" s="30" t="str">
        <f>""</f>
        <v/>
      </c>
      <c r="P253" s="30" t="str">
        <f>""</f>
        <v/>
      </c>
      <c r="Q253" s="43" t="str">
        <f>""</f>
        <v/>
      </c>
      <c r="R253" s="44">
        <v>284.99</v>
      </c>
      <c r="S253" s="44">
        <v>0</v>
      </c>
      <c r="T253" s="45">
        <f t="shared" si="16"/>
        <v>284.99</v>
      </c>
    </row>
    <row r="254" spans="1:20" s="30" customFormat="1" x14ac:dyDescent="0.25">
      <c r="A254" s="24" t="s">
        <v>24</v>
      </c>
      <c r="B254" s="40"/>
      <c r="C254" s="40"/>
      <c r="D254" s="24"/>
      <c r="E254" s="24"/>
      <c r="F254" s="40" t="e">
        <f t="shared" si="15"/>
        <v>#REF!</v>
      </c>
      <c r="G254" s="40" t="e">
        <f t="shared" si="15"/>
        <v>#REF!</v>
      </c>
      <c r="H254" s="41"/>
      <c r="K254" s="30" t="str">
        <f>"""GP"",""Ute Indian Tribe Membership Fund"",""aaa_contract_detail_sp"",""JRNENTRY"",""1619745"",""aaGLHdrID"",""1787889"",""aaGLDistID"",""19"",""aaGLAssignID"",""1"",""contract"",""3460 92 URHS FY2025"""</f>
        <v>"GP","Ute Indian Tribe Membership Fund","aaa_contract_detail_sp","JRNENTRY","1619745","aaGLHdrID","1787889","aaGLDistID","19","aaGLAssignID","1","contract","3460 92 URHS FY2025"</v>
      </c>
      <c r="L254" s="42">
        <v>45883</v>
      </c>
      <c r="M254" s="30">
        <v>1619745</v>
      </c>
      <c r="N254" s="30" t="str">
        <f>""</f>
        <v/>
      </c>
      <c r="O254" s="30" t="str">
        <f>""</f>
        <v/>
      </c>
      <c r="P254" s="30" t="str">
        <f>""</f>
        <v/>
      </c>
      <c r="Q254" s="43" t="str">
        <f>""</f>
        <v/>
      </c>
      <c r="R254" s="44">
        <v>324.22000000000003</v>
      </c>
      <c r="S254" s="44">
        <v>0</v>
      </c>
      <c r="T254" s="45">
        <f t="shared" si="16"/>
        <v>324.22000000000003</v>
      </c>
    </row>
    <row r="255" spans="1:20" s="30" customFormat="1" x14ac:dyDescent="0.25">
      <c r="A255" s="24" t="s">
        <v>24</v>
      </c>
      <c r="B255" s="40"/>
      <c r="C255" s="40"/>
      <c r="D255" s="24"/>
      <c r="E255" s="24"/>
      <c r="F255" s="40" t="e">
        <f t="shared" si="15"/>
        <v>#REF!</v>
      </c>
      <c r="G255" s="40" t="e">
        <f t="shared" si="15"/>
        <v>#REF!</v>
      </c>
      <c r="H255" s="41"/>
      <c r="K255" s="30" t="str">
        <f>"""GP"",""Ute Indian Tribe Membership Fund"",""aaa_contract_detail_sp"",""JRNENTRY"",""1619745"",""aaGLHdrID"",""1787889"",""aaGLDistID"",""20"",""aaGLAssignID"",""1"",""contract"",""3460 92 URHS FY2025"""</f>
        <v>"GP","Ute Indian Tribe Membership Fund","aaa_contract_detail_sp","JRNENTRY","1619745","aaGLHdrID","1787889","aaGLDistID","20","aaGLAssignID","1","contract","3460 92 URHS FY2025"</v>
      </c>
      <c r="L255" s="42">
        <v>45883</v>
      </c>
      <c r="M255" s="30">
        <v>1619745</v>
      </c>
      <c r="N255" s="30" t="str">
        <f>""</f>
        <v/>
      </c>
      <c r="O255" s="30" t="str">
        <f>""</f>
        <v/>
      </c>
      <c r="P255" s="30" t="str">
        <f>""</f>
        <v/>
      </c>
      <c r="Q255" s="43" t="str">
        <f>""</f>
        <v/>
      </c>
      <c r="R255" s="44">
        <v>162.11000000000001</v>
      </c>
      <c r="S255" s="44">
        <v>0</v>
      </c>
      <c r="T255" s="45">
        <f t="shared" si="16"/>
        <v>162.11000000000001</v>
      </c>
    </row>
    <row r="256" spans="1:20" s="30" customFormat="1" x14ac:dyDescent="0.25">
      <c r="A256" s="24" t="s">
        <v>24</v>
      </c>
      <c r="B256" s="40"/>
      <c r="C256" s="40"/>
      <c r="D256" s="24"/>
      <c r="E256" s="24"/>
      <c r="F256" s="40" t="e">
        <f t="shared" si="15"/>
        <v>#REF!</v>
      </c>
      <c r="G256" s="40" t="e">
        <f t="shared" si="15"/>
        <v>#REF!</v>
      </c>
      <c r="H256" s="41"/>
      <c r="K256" s="30" t="str">
        <f>"""GP"",""Ute Indian Tribe Membership Fund"",""aaa_contract_detail_sp"",""JRNENTRY"",""1619749"",""aaGLHdrID"",""1787893"",""aaGLDistID"",""20"",""aaGLAssignID"",""1"",""contract"",""3460 92 URHS FY2025"""</f>
        <v>"GP","Ute Indian Tribe Membership Fund","aaa_contract_detail_sp","JRNENTRY","1619749","aaGLHdrID","1787893","aaGLDistID","20","aaGLAssignID","1","contract","3460 92 URHS FY2025"</v>
      </c>
      <c r="L256" s="42">
        <v>45883</v>
      </c>
      <c r="M256" s="30">
        <v>1619749</v>
      </c>
      <c r="N256" s="30" t="str">
        <f>""</f>
        <v/>
      </c>
      <c r="O256" s="30" t="str">
        <f>""</f>
        <v/>
      </c>
      <c r="P256" s="30" t="str">
        <f>""</f>
        <v/>
      </c>
      <c r="Q256" s="43" t="str">
        <f>""</f>
        <v/>
      </c>
      <c r="R256" s="44">
        <v>402.43</v>
      </c>
      <c r="S256" s="44">
        <v>0</v>
      </c>
      <c r="T256" s="45">
        <f t="shared" si="16"/>
        <v>402.43</v>
      </c>
    </row>
    <row r="257" spans="1:20" s="30" customFormat="1" x14ac:dyDescent="0.25">
      <c r="A257" s="24" t="s">
        <v>24</v>
      </c>
      <c r="B257" s="40"/>
      <c r="C257" s="40"/>
      <c r="D257" s="24"/>
      <c r="E257" s="24"/>
      <c r="F257" s="40" t="e">
        <f t="shared" si="15"/>
        <v>#REF!</v>
      </c>
      <c r="G257" s="40" t="e">
        <f t="shared" si="15"/>
        <v>#REF!</v>
      </c>
      <c r="H257" s="41"/>
      <c r="K257" s="30" t="str">
        <f>"""GP"",""Ute Indian Tribe Membership Fund"",""aaa_contract_detail_sp"",""JRNENTRY"",""1619749"",""aaGLHdrID"",""1787893"",""aaGLDistID"",""21"",""aaGLAssignID"",""1"",""contract"",""3460 92 URHS FY2025"""</f>
        <v>"GP","Ute Indian Tribe Membership Fund","aaa_contract_detail_sp","JRNENTRY","1619749","aaGLHdrID","1787893","aaGLDistID","21","aaGLAssignID","1","contract","3460 92 URHS FY2025"</v>
      </c>
      <c r="L257" s="42">
        <v>45883</v>
      </c>
      <c r="M257" s="30">
        <v>1619749</v>
      </c>
      <c r="N257" s="30" t="str">
        <f>""</f>
        <v/>
      </c>
      <c r="O257" s="30" t="str">
        <f>""</f>
        <v/>
      </c>
      <c r="P257" s="30" t="str">
        <f>""</f>
        <v/>
      </c>
      <c r="Q257" s="43" t="str">
        <f>""</f>
        <v/>
      </c>
      <c r="R257" s="44">
        <v>201.22</v>
      </c>
      <c r="S257" s="44">
        <v>0</v>
      </c>
      <c r="T257" s="45">
        <f t="shared" si="16"/>
        <v>201.22</v>
      </c>
    </row>
    <row r="258" spans="1:20" s="30" customFormat="1" x14ac:dyDescent="0.25">
      <c r="A258" s="24" t="s">
        <v>24</v>
      </c>
      <c r="B258" s="40"/>
      <c r="C258" s="40"/>
      <c r="D258" s="24"/>
      <c r="E258" s="24"/>
      <c r="F258" s="40" t="e">
        <f t="shared" si="15"/>
        <v>#REF!</v>
      </c>
      <c r="G258" s="40" t="e">
        <f t="shared" si="15"/>
        <v>#REF!</v>
      </c>
      <c r="H258" s="41"/>
      <c r="K258" s="30" t="str">
        <f>"""GP"",""Ute Indian Tribe Membership Fund"",""aaa_contract_detail_sp"",""JRNENTRY"",""1619790"",""aaGLHdrID"",""1787934"",""aaGLDistID"",""20"",""aaGLAssignID"",""1"",""contract"",""3460 92 URHS FY2025"""</f>
        <v>"GP","Ute Indian Tribe Membership Fund","aaa_contract_detail_sp","JRNENTRY","1619790","aaGLHdrID","1787934","aaGLDistID","20","aaGLAssignID","1","contract","3460 92 URHS FY2025"</v>
      </c>
      <c r="L258" s="42">
        <v>45883</v>
      </c>
      <c r="M258" s="30">
        <v>1619790</v>
      </c>
      <c r="N258" s="30" t="str">
        <f>""</f>
        <v/>
      </c>
      <c r="O258" s="30" t="str">
        <f>""</f>
        <v/>
      </c>
      <c r="P258" s="30" t="str">
        <f>""</f>
        <v/>
      </c>
      <c r="Q258" s="43" t="str">
        <f>""</f>
        <v/>
      </c>
      <c r="R258" s="44">
        <v>256.26</v>
      </c>
      <c r="S258" s="44">
        <v>0</v>
      </c>
      <c r="T258" s="45">
        <f t="shared" si="16"/>
        <v>256.26</v>
      </c>
    </row>
    <row r="259" spans="1:20" s="30" customFormat="1" x14ac:dyDescent="0.25">
      <c r="A259" s="24" t="s">
        <v>24</v>
      </c>
      <c r="B259" s="40"/>
      <c r="C259" s="40"/>
      <c r="D259" s="24"/>
      <c r="E259" s="24"/>
      <c r="F259" s="40" t="e">
        <f t="shared" si="15"/>
        <v>#REF!</v>
      </c>
      <c r="G259" s="40" t="e">
        <f t="shared" si="15"/>
        <v>#REF!</v>
      </c>
      <c r="H259" s="41"/>
      <c r="K259" s="30" t="str">
        <f>"""GP"",""Ute Indian Tribe Membership Fund"",""aaa_contract_detail_sp"",""JRNENTRY"",""1619875"",""aaGLHdrID"",""1788019"",""aaGLDistID"",""21"",""aaGLAssignID"",""1"",""contract"",""3460 92 URHS FY2025"""</f>
        <v>"GP","Ute Indian Tribe Membership Fund","aaa_contract_detail_sp","JRNENTRY","1619875","aaGLHdrID","1788019","aaGLDistID","21","aaGLAssignID","1","contract","3460 92 URHS FY2025"</v>
      </c>
      <c r="L259" s="42">
        <v>45883</v>
      </c>
      <c r="M259" s="30">
        <v>1619875</v>
      </c>
      <c r="N259" s="30" t="str">
        <f>""</f>
        <v/>
      </c>
      <c r="O259" s="30" t="str">
        <f>""</f>
        <v/>
      </c>
      <c r="P259" s="30" t="str">
        <f>""</f>
        <v/>
      </c>
      <c r="Q259" s="43" t="str">
        <f>""</f>
        <v/>
      </c>
      <c r="R259" s="44">
        <v>110.05</v>
      </c>
      <c r="S259" s="44">
        <v>0</v>
      </c>
      <c r="T259" s="45">
        <f t="shared" si="16"/>
        <v>110.05</v>
      </c>
    </row>
    <row r="260" spans="1:20" s="30" customFormat="1" x14ac:dyDescent="0.25">
      <c r="A260" s="24" t="s">
        <v>24</v>
      </c>
      <c r="B260" s="40"/>
      <c r="C260" s="40"/>
      <c r="D260" s="24"/>
      <c r="E260" s="24"/>
      <c r="F260" s="40" t="e">
        <f t="shared" si="15"/>
        <v>#REF!</v>
      </c>
      <c r="G260" s="40" t="e">
        <f t="shared" si="15"/>
        <v>#REF!</v>
      </c>
      <c r="H260" s="41"/>
      <c r="K260" s="30" t="str">
        <f>"""GP"",""Ute Indian Tribe Membership Fund"",""aaa_contract_detail_sp"",""JRNENTRY"",""1619896"",""aaGLHdrID"",""1788040"",""aaGLDistID"",""16"",""aaGLAssignID"",""1"",""contract"",""3460 92 URHS FY2025"""</f>
        <v>"GP","Ute Indian Tribe Membership Fund","aaa_contract_detail_sp","JRNENTRY","1619896","aaGLHdrID","1788040","aaGLDistID","16","aaGLAssignID","1","contract","3460 92 URHS FY2025"</v>
      </c>
      <c r="L260" s="42">
        <v>45883</v>
      </c>
      <c r="M260" s="30">
        <v>1619896</v>
      </c>
      <c r="N260" s="30" t="str">
        <f>""</f>
        <v/>
      </c>
      <c r="O260" s="30" t="str">
        <f>""</f>
        <v/>
      </c>
      <c r="P260" s="30" t="str">
        <f>""</f>
        <v/>
      </c>
      <c r="Q260" s="43" t="str">
        <f>""</f>
        <v/>
      </c>
      <c r="R260" s="44">
        <v>131.65</v>
      </c>
      <c r="S260" s="44">
        <v>0</v>
      </c>
      <c r="T260" s="45">
        <f t="shared" si="16"/>
        <v>131.65</v>
      </c>
    </row>
    <row r="261" spans="1:20" s="30" customFormat="1" x14ac:dyDescent="0.25">
      <c r="A261" s="24" t="s">
        <v>24</v>
      </c>
      <c r="B261" s="40"/>
      <c r="C261" s="40"/>
      <c r="D261" s="24"/>
      <c r="E261" s="24"/>
      <c r="F261" s="40" t="e">
        <f t="shared" si="15"/>
        <v>#REF!</v>
      </c>
      <c r="G261" s="40" t="e">
        <f t="shared" si="15"/>
        <v>#REF!</v>
      </c>
      <c r="H261" s="41"/>
      <c r="K261" s="30" t="str">
        <f>"""GP"",""Ute Indian Tribe Membership Fund"",""aaa_contract_detail_sp"",""JRNENTRY"",""1619972"",""aaGLHdrID"",""1788116"",""aaGLDistID"",""15"",""aaGLAssignID"",""1"",""contract"",""3460 92 URHS FY2025"""</f>
        <v>"GP","Ute Indian Tribe Membership Fund","aaa_contract_detail_sp","JRNENTRY","1619972","aaGLHdrID","1788116","aaGLDistID","15","aaGLAssignID","1","contract","3460 92 URHS FY2025"</v>
      </c>
      <c r="L261" s="42">
        <v>45883</v>
      </c>
      <c r="M261" s="30">
        <v>1619972</v>
      </c>
      <c r="N261" s="30" t="str">
        <f>""</f>
        <v/>
      </c>
      <c r="O261" s="30" t="str">
        <f>""</f>
        <v/>
      </c>
      <c r="P261" s="30" t="str">
        <f>""</f>
        <v/>
      </c>
      <c r="Q261" s="43" t="str">
        <f>""</f>
        <v/>
      </c>
      <c r="R261" s="44">
        <v>68.06</v>
      </c>
      <c r="S261" s="44">
        <v>0</v>
      </c>
      <c r="T261" s="45">
        <f t="shared" si="16"/>
        <v>68.06</v>
      </c>
    </row>
    <row r="262" spans="1:20" s="30" customFormat="1" x14ac:dyDescent="0.25">
      <c r="A262" s="24" t="s">
        <v>24</v>
      </c>
      <c r="B262" s="40"/>
      <c r="C262" s="40"/>
      <c r="D262" s="24"/>
      <c r="E262" s="24"/>
      <c r="F262" s="40" t="e">
        <f t="shared" si="15"/>
        <v>#REF!</v>
      </c>
      <c r="G262" s="40" t="e">
        <f t="shared" si="15"/>
        <v>#REF!</v>
      </c>
      <c r="H262" s="41"/>
      <c r="K262" s="30" t="str">
        <f>"""GP"",""Ute Indian Tribe Membership Fund"",""aaa_contract_detail_sp"",""JRNENTRY"",""1619979"",""aaGLHdrID"",""1788123"",""aaGLDistID"",""19"",""aaGLAssignID"",""1"",""contract"",""3460 92 URHS FY2025"""</f>
        <v>"GP","Ute Indian Tribe Membership Fund","aaa_contract_detail_sp","JRNENTRY","1619979","aaGLHdrID","1788123","aaGLDistID","19","aaGLAssignID","1","contract","3460 92 URHS FY2025"</v>
      </c>
      <c r="L262" s="42">
        <v>45883</v>
      </c>
      <c r="M262" s="30">
        <v>1619979</v>
      </c>
      <c r="N262" s="30" t="str">
        <f>""</f>
        <v/>
      </c>
      <c r="O262" s="30" t="str">
        <f>""</f>
        <v/>
      </c>
      <c r="P262" s="30" t="str">
        <f>""</f>
        <v/>
      </c>
      <c r="Q262" s="43" t="str">
        <f>""</f>
        <v/>
      </c>
      <c r="R262" s="44">
        <v>83.78</v>
      </c>
      <c r="S262" s="44">
        <v>0</v>
      </c>
      <c r="T262" s="45">
        <f t="shared" si="16"/>
        <v>83.78</v>
      </c>
    </row>
    <row r="263" spans="1:20" s="30" customFormat="1" ht="12.75" x14ac:dyDescent="0.2">
      <c r="A263" s="24" t="s">
        <v>24</v>
      </c>
      <c r="B263" s="40"/>
      <c r="C263" s="40"/>
      <c r="D263" s="24"/>
      <c r="E263" s="24"/>
      <c r="F263" s="40" t="e">
        <f>#REF!</f>
        <v>#REF!</v>
      </c>
      <c r="G263" s="40" t="e">
        <f>#REF!</f>
        <v>#REF!</v>
      </c>
      <c r="H263" s="41"/>
    </row>
    <row r="264" spans="1:20" s="30" customFormat="1" ht="12.75" x14ac:dyDescent="0.2">
      <c r="A264" s="24" t="s">
        <v>24</v>
      </c>
      <c r="B264" s="24"/>
      <c r="C264" s="24"/>
      <c r="D264" s="24"/>
      <c r="E264" s="24"/>
      <c r="F264" s="24"/>
      <c r="G264" s="24"/>
      <c r="H264" s="29"/>
      <c r="I264" s="53" t="str">
        <f>I201&amp;"   "&amp;J201&amp;"         Total:"</f>
        <v>5021-0-6120-3460   Fringe Benefits - Retirement         Total:</v>
      </c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46">
        <f>SUBTOTAL(9,T202:T263)</f>
        <v>14016.67</v>
      </c>
    </row>
    <row r="265" spans="1:20" s="30" customFormat="1" ht="15.75" hidden="1" thickBot="1" x14ac:dyDescent="0.3">
      <c r="A265" s="24" t="s">
        <v>1</v>
      </c>
      <c r="B265" s="24"/>
      <c r="C265" s="24"/>
      <c r="D265" s="24"/>
      <c r="E265" s="24"/>
      <c r="F265" s="24"/>
      <c r="G265" s="24"/>
      <c r="H265" s="29"/>
      <c r="I265" s="52" t="s">
        <v>25</v>
      </c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47" t="e">
        <f>SUBTOTAL(9,#REF!)</f>
        <v>#REF!</v>
      </c>
    </row>
    <row r="266" spans="1:20" s="30" customFormat="1" ht="12.75" x14ac:dyDescent="0.2">
      <c r="A266" s="24"/>
      <c r="B266" s="24"/>
      <c r="C266" s="24"/>
      <c r="D266" s="24"/>
      <c r="E266" s="24"/>
      <c r="F266" s="24"/>
      <c r="G266" s="24"/>
      <c r="H266" s="29"/>
    </row>
  </sheetData>
  <mergeCells count="7">
    <mergeCell ref="I265:S265"/>
    <mergeCell ref="I7:N7"/>
    <mergeCell ref="I165:S165"/>
    <mergeCell ref="I198:S198"/>
    <mergeCell ref="I264:S264"/>
    <mergeCell ref="I8:M8"/>
    <mergeCell ref="I62:S62"/>
  </mergeCells>
  <pageMargins left="0.75" right="0.75" top="1" bottom="1" header="0.5" footer="0.5"/>
  <pageSetup scale="3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5021</vt:lpstr>
      <vt:lpstr>Grant 3420</vt:lpstr>
      <vt:lpstr>Grant 3430</vt:lpstr>
      <vt:lpstr>Grant 3440</vt:lpstr>
      <vt:lpstr>Grant 3460</vt:lpstr>
      <vt:lpstr>'Grant 3420'!Email</vt:lpstr>
      <vt:lpstr>'Grant 3430'!Email</vt:lpstr>
      <vt:lpstr>'Grant 3440'!Email</vt:lpstr>
      <vt:lpstr>Email</vt:lpstr>
      <vt:lpstr>'Grant 3420'!Print_Titles</vt:lpstr>
      <vt:lpstr>'Grant 3430'!Print_Titles</vt:lpstr>
      <vt:lpstr>'Grant 3440'!Print_Titles</vt:lpstr>
      <vt:lpstr>'Grant 3460'!Print_Titles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Phillips</dc:creator>
  <cp:lastModifiedBy>Bill Phillips</cp:lastModifiedBy>
  <dcterms:created xsi:type="dcterms:W3CDTF">2025-08-19T14:00:26Z</dcterms:created>
  <dcterms:modified xsi:type="dcterms:W3CDTF">2025-09-15T16:27:33Z</dcterms:modified>
</cp:coreProperties>
</file>