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rittanyl\Downloads\"/>
    </mc:Choice>
  </mc:AlternateContent>
  <bookViews>
    <workbookView xWindow="0" yWindow="0" windowWidth="22890" windowHeight="14040" activeTab="3"/>
  </bookViews>
  <sheets>
    <sheet name="Tribal Nov-Dec 2024" sheetId="1" r:id="rId1"/>
    <sheet name="Grant 3420" sheetId="2" r:id="rId2"/>
    <sheet name="Grant 3430" sheetId="3" r:id="rId3"/>
    <sheet name="Detail" sheetId="4" r:id="rId4"/>
  </sheets>
  <externalReferences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DateFilter" localSheetId="3">[1]Options!$D$7</definedName>
    <definedName name="DateFilter" localSheetId="1">[2]Options!$D$7</definedName>
    <definedName name="DateFilter" localSheetId="2">[3]Options!$D$7</definedName>
    <definedName name="DateFilter">[4]Options!$D$7</definedName>
    <definedName name="Department">[4]Options!$D$8</definedName>
    <definedName name="DepartmentManagerCode">[5]Options!$D$6</definedName>
    <definedName name="Email" localSheetId="3">Detail!$D$6</definedName>
    <definedName name="Email" localSheetId="2">'Grant 3430'!$D$6</definedName>
    <definedName name="Email">'Grant 3420'!$D$6</definedName>
    <definedName name="Grant" localSheetId="3">[1]Options!$D$8</definedName>
    <definedName name="Grant" localSheetId="2">[3]Options!$D$8</definedName>
    <definedName name="Grant">[2]Options!$D$8</definedName>
    <definedName name="_xlnm.Print_Titles" localSheetId="3">Detail!$4:$15</definedName>
    <definedName name="_xlnm.Print_Titles" localSheetId="1">'Grant 3420'!$4:$15</definedName>
    <definedName name="_xlnm.Print_Titles" localSheetId="2">'Grant 3430'!$4:$15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397" i="4" l="1"/>
  <c r="Q397" i="4"/>
  <c r="P397" i="4"/>
  <c r="O397" i="4"/>
  <c r="N397" i="4"/>
  <c r="K397" i="4"/>
  <c r="J396" i="4"/>
  <c r="G396" i="4"/>
  <c r="G398" i="4" s="1"/>
  <c r="F396" i="4"/>
  <c r="T391" i="4"/>
  <c r="Q391" i="4"/>
  <c r="P391" i="4"/>
  <c r="O391" i="4"/>
  <c r="N391" i="4"/>
  <c r="K391" i="4"/>
  <c r="J390" i="4"/>
  <c r="G390" i="4"/>
  <c r="F390" i="4"/>
  <c r="F391" i="4" s="1"/>
  <c r="T385" i="4"/>
  <c r="Q385" i="4"/>
  <c r="P385" i="4"/>
  <c r="O385" i="4"/>
  <c r="N385" i="4"/>
  <c r="K385" i="4"/>
  <c r="T384" i="4"/>
  <c r="Q384" i="4"/>
  <c r="P384" i="4"/>
  <c r="O384" i="4"/>
  <c r="N384" i="4"/>
  <c r="K384" i="4"/>
  <c r="T383" i="4"/>
  <c r="Q383" i="4"/>
  <c r="P383" i="4"/>
  <c r="O383" i="4"/>
  <c r="N383" i="4"/>
  <c r="K383" i="4"/>
  <c r="T382" i="4"/>
  <c r="Q382" i="4"/>
  <c r="P382" i="4"/>
  <c r="O382" i="4"/>
  <c r="N382" i="4"/>
  <c r="K382" i="4"/>
  <c r="T381" i="4"/>
  <c r="Q381" i="4"/>
  <c r="P381" i="4"/>
  <c r="O381" i="4"/>
  <c r="N381" i="4"/>
  <c r="K381" i="4"/>
  <c r="T380" i="4"/>
  <c r="Q380" i="4"/>
  <c r="P380" i="4"/>
  <c r="O380" i="4"/>
  <c r="N380" i="4"/>
  <c r="K380" i="4"/>
  <c r="T379" i="4"/>
  <c r="Q379" i="4"/>
  <c r="P379" i="4"/>
  <c r="O379" i="4"/>
  <c r="N379" i="4"/>
  <c r="K379" i="4"/>
  <c r="T378" i="4"/>
  <c r="Q378" i="4"/>
  <c r="P378" i="4"/>
  <c r="O378" i="4"/>
  <c r="N378" i="4"/>
  <c r="K378" i="4"/>
  <c r="T377" i="4"/>
  <c r="Q377" i="4"/>
  <c r="P377" i="4"/>
  <c r="O377" i="4"/>
  <c r="N377" i="4"/>
  <c r="K377" i="4"/>
  <c r="T376" i="4"/>
  <c r="Q376" i="4"/>
  <c r="P376" i="4"/>
  <c r="O376" i="4"/>
  <c r="N376" i="4"/>
  <c r="K376" i="4"/>
  <c r="T375" i="4"/>
  <c r="Q375" i="4"/>
  <c r="P375" i="4"/>
  <c r="O375" i="4"/>
  <c r="N375" i="4"/>
  <c r="K375" i="4"/>
  <c r="T374" i="4"/>
  <c r="Q374" i="4"/>
  <c r="P374" i="4"/>
  <c r="O374" i="4"/>
  <c r="N374" i="4"/>
  <c r="K374" i="4"/>
  <c r="T373" i="4"/>
  <c r="Q373" i="4"/>
  <c r="P373" i="4"/>
  <c r="O373" i="4"/>
  <c r="N373" i="4"/>
  <c r="K373" i="4"/>
  <c r="T372" i="4"/>
  <c r="Q372" i="4"/>
  <c r="P372" i="4"/>
  <c r="O372" i="4"/>
  <c r="N372" i="4"/>
  <c r="K372" i="4"/>
  <c r="T371" i="4"/>
  <c r="Q371" i="4"/>
  <c r="P371" i="4"/>
  <c r="O371" i="4"/>
  <c r="N371" i="4"/>
  <c r="K371" i="4"/>
  <c r="T370" i="4"/>
  <c r="Q370" i="4"/>
  <c r="P370" i="4"/>
  <c r="O370" i="4"/>
  <c r="N370" i="4"/>
  <c r="K370" i="4"/>
  <c r="T369" i="4"/>
  <c r="Q369" i="4"/>
  <c r="P369" i="4"/>
  <c r="O369" i="4"/>
  <c r="N369" i="4"/>
  <c r="K369" i="4"/>
  <c r="T368" i="4"/>
  <c r="Q368" i="4"/>
  <c r="P368" i="4"/>
  <c r="O368" i="4"/>
  <c r="N368" i="4"/>
  <c r="K368" i="4"/>
  <c r="T367" i="4"/>
  <c r="Q367" i="4"/>
  <c r="P367" i="4"/>
  <c r="O367" i="4"/>
  <c r="N367" i="4"/>
  <c r="K367" i="4"/>
  <c r="T366" i="4"/>
  <c r="Q366" i="4"/>
  <c r="P366" i="4"/>
  <c r="O366" i="4"/>
  <c r="N366" i="4"/>
  <c r="K366" i="4"/>
  <c r="T365" i="4"/>
  <c r="Q365" i="4"/>
  <c r="P365" i="4"/>
  <c r="O365" i="4"/>
  <c r="N365" i="4"/>
  <c r="K365" i="4"/>
  <c r="T364" i="4"/>
  <c r="Q364" i="4"/>
  <c r="P364" i="4"/>
  <c r="O364" i="4"/>
  <c r="N364" i="4"/>
  <c r="K364" i="4"/>
  <c r="T363" i="4"/>
  <c r="Q363" i="4"/>
  <c r="P363" i="4"/>
  <c r="O363" i="4"/>
  <c r="N363" i="4"/>
  <c r="K363" i="4"/>
  <c r="T362" i="4"/>
  <c r="Q362" i="4"/>
  <c r="P362" i="4"/>
  <c r="O362" i="4"/>
  <c r="N362" i="4"/>
  <c r="K362" i="4"/>
  <c r="T361" i="4"/>
  <c r="Q361" i="4"/>
  <c r="P361" i="4"/>
  <c r="O361" i="4"/>
  <c r="N361" i="4"/>
  <c r="K361" i="4"/>
  <c r="T360" i="4"/>
  <c r="Q360" i="4"/>
  <c r="P360" i="4"/>
  <c r="O360" i="4"/>
  <c r="N360" i="4"/>
  <c r="K360" i="4"/>
  <c r="T359" i="4"/>
  <c r="Q359" i="4"/>
  <c r="P359" i="4"/>
  <c r="O359" i="4"/>
  <c r="N359" i="4"/>
  <c r="K359" i="4"/>
  <c r="T358" i="4"/>
  <c r="Q358" i="4"/>
  <c r="P358" i="4"/>
  <c r="O358" i="4"/>
  <c r="N358" i="4"/>
  <c r="K358" i="4"/>
  <c r="T357" i="4"/>
  <c r="Q357" i="4"/>
  <c r="P357" i="4"/>
  <c r="O357" i="4"/>
  <c r="N357" i="4"/>
  <c r="K357" i="4"/>
  <c r="T356" i="4"/>
  <c r="Q356" i="4"/>
  <c r="P356" i="4"/>
  <c r="O356" i="4"/>
  <c r="N356" i="4"/>
  <c r="K356" i="4"/>
  <c r="T355" i="4"/>
  <c r="Q355" i="4"/>
  <c r="P355" i="4"/>
  <c r="O355" i="4"/>
  <c r="N355" i="4"/>
  <c r="K355" i="4"/>
  <c r="T354" i="4"/>
  <c r="Q354" i="4"/>
  <c r="P354" i="4"/>
  <c r="O354" i="4"/>
  <c r="N354" i="4"/>
  <c r="K354" i="4"/>
  <c r="T353" i="4"/>
  <c r="Q353" i="4"/>
  <c r="P353" i="4"/>
  <c r="O353" i="4"/>
  <c r="N353" i="4"/>
  <c r="K353" i="4"/>
  <c r="T352" i="4"/>
  <c r="Q352" i="4"/>
  <c r="P352" i="4"/>
  <c r="O352" i="4"/>
  <c r="N352" i="4"/>
  <c r="K352" i="4"/>
  <c r="T351" i="4"/>
  <c r="Q351" i="4"/>
  <c r="P351" i="4"/>
  <c r="O351" i="4"/>
  <c r="N351" i="4"/>
  <c r="K351" i="4"/>
  <c r="T350" i="4"/>
  <c r="Q350" i="4"/>
  <c r="P350" i="4"/>
  <c r="O350" i="4"/>
  <c r="N350" i="4"/>
  <c r="K350" i="4"/>
  <c r="T349" i="4"/>
  <c r="Q349" i="4"/>
  <c r="P349" i="4"/>
  <c r="O349" i="4"/>
  <c r="N349" i="4"/>
  <c r="K349" i="4"/>
  <c r="T348" i="4"/>
  <c r="Q348" i="4"/>
  <c r="P348" i="4"/>
  <c r="O348" i="4"/>
  <c r="N348" i="4"/>
  <c r="K348" i="4"/>
  <c r="T347" i="4"/>
  <c r="Q347" i="4"/>
  <c r="P347" i="4"/>
  <c r="O347" i="4"/>
  <c r="N347" i="4"/>
  <c r="K347" i="4"/>
  <c r="T346" i="4"/>
  <c r="Q346" i="4"/>
  <c r="P346" i="4"/>
  <c r="O346" i="4"/>
  <c r="N346" i="4"/>
  <c r="K346" i="4"/>
  <c r="T345" i="4"/>
  <c r="Q345" i="4"/>
  <c r="P345" i="4"/>
  <c r="O345" i="4"/>
  <c r="N345" i="4"/>
  <c r="K345" i="4"/>
  <c r="T344" i="4"/>
  <c r="Q344" i="4"/>
  <c r="P344" i="4"/>
  <c r="O344" i="4"/>
  <c r="N344" i="4"/>
  <c r="K344" i="4"/>
  <c r="T343" i="4"/>
  <c r="Q343" i="4"/>
  <c r="P343" i="4"/>
  <c r="O343" i="4"/>
  <c r="N343" i="4"/>
  <c r="K343" i="4"/>
  <c r="T342" i="4"/>
  <c r="Q342" i="4"/>
  <c r="P342" i="4"/>
  <c r="O342" i="4"/>
  <c r="N342" i="4"/>
  <c r="K342" i="4"/>
  <c r="T341" i="4"/>
  <c r="Q341" i="4"/>
  <c r="P341" i="4"/>
  <c r="O341" i="4"/>
  <c r="N341" i="4"/>
  <c r="K341" i="4"/>
  <c r="T340" i="4"/>
  <c r="Q340" i="4"/>
  <c r="P340" i="4"/>
  <c r="O340" i="4"/>
  <c r="N340" i="4"/>
  <c r="K340" i="4"/>
  <c r="T339" i="4"/>
  <c r="Q339" i="4"/>
  <c r="P339" i="4"/>
  <c r="O339" i="4"/>
  <c r="N339" i="4"/>
  <c r="K339" i="4"/>
  <c r="T338" i="4"/>
  <c r="Q338" i="4"/>
  <c r="P338" i="4"/>
  <c r="O338" i="4"/>
  <c r="N338" i="4"/>
  <c r="K338" i="4"/>
  <c r="T337" i="4"/>
  <c r="Q337" i="4"/>
  <c r="P337" i="4"/>
  <c r="O337" i="4"/>
  <c r="N337" i="4"/>
  <c r="K337" i="4"/>
  <c r="T336" i="4"/>
  <c r="Q336" i="4"/>
  <c r="P336" i="4"/>
  <c r="O336" i="4"/>
  <c r="N336" i="4"/>
  <c r="K336" i="4"/>
  <c r="T335" i="4"/>
  <c r="Q335" i="4"/>
  <c r="P335" i="4"/>
  <c r="O335" i="4"/>
  <c r="N335" i="4"/>
  <c r="K335" i="4"/>
  <c r="T334" i="4"/>
  <c r="Q334" i="4"/>
  <c r="P334" i="4"/>
  <c r="O334" i="4"/>
  <c r="N334" i="4"/>
  <c r="K334" i="4"/>
  <c r="T333" i="4"/>
  <c r="Q333" i="4"/>
  <c r="P333" i="4"/>
  <c r="O333" i="4"/>
  <c r="N333" i="4"/>
  <c r="K333" i="4"/>
  <c r="T332" i="4"/>
  <c r="Q332" i="4"/>
  <c r="P332" i="4"/>
  <c r="O332" i="4"/>
  <c r="N332" i="4"/>
  <c r="K332" i="4"/>
  <c r="T331" i="4"/>
  <c r="Q331" i="4"/>
  <c r="P331" i="4"/>
  <c r="O331" i="4"/>
  <c r="N331" i="4"/>
  <c r="K331" i="4"/>
  <c r="T330" i="4"/>
  <c r="Q330" i="4"/>
  <c r="P330" i="4"/>
  <c r="O330" i="4"/>
  <c r="N330" i="4"/>
  <c r="K330" i="4"/>
  <c r="T329" i="4"/>
  <c r="Q329" i="4"/>
  <c r="P329" i="4"/>
  <c r="O329" i="4"/>
  <c r="N329" i="4"/>
  <c r="K329" i="4"/>
  <c r="T328" i="4"/>
  <c r="Q328" i="4"/>
  <c r="P328" i="4"/>
  <c r="O328" i="4"/>
  <c r="N328" i="4"/>
  <c r="K328" i="4"/>
  <c r="T327" i="4"/>
  <c r="Q327" i="4"/>
  <c r="P327" i="4"/>
  <c r="O327" i="4"/>
  <c r="N327" i="4"/>
  <c r="K327" i="4"/>
  <c r="T326" i="4"/>
  <c r="Q326" i="4"/>
  <c r="P326" i="4"/>
  <c r="O326" i="4"/>
  <c r="N326" i="4"/>
  <c r="K326" i="4"/>
  <c r="T325" i="4"/>
  <c r="Q325" i="4"/>
  <c r="P325" i="4"/>
  <c r="O325" i="4"/>
  <c r="N325" i="4"/>
  <c r="K325" i="4"/>
  <c r="T324" i="4"/>
  <c r="Q324" i="4"/>
  <c r="P324" i="4"/>
  <c r="O324" i="4"/>
  <c r="N324" i="4"/>
  <c r="K324" i="4"/>
  <c r="T323" i="4"/>
  <c r="Q323" i="4"/>
  <c r="P323" i="4"/>
  <c r="O323" i="4"/>
  <c r="N323" i="4"/>
  <c r="K323" i="4"/>
  <c r="T322" i="4"/>
  <c r="Q322" i="4"/>
  <c r="P322" i="4"/>
  <c r="O322" i="4"/>
  <c r="N322" i="4"/>
  <c r="K322" i="4"/>
  <c r="T321" i="4"/>
  <c r="Q321" i="4"/>
  <c r="P321" i="4"/>
  <c r="O321" i="4"/>
  <c r="N321" i="4"/>
  <c r="K321" i="4"/>
  <c r="T320" i="4"/>
  <c r="Q320" i="4"/>
  <c r="P320" i="4"/>
  <c r="O320" i="4"/>
  <c r="N320" i="4"/>
  <c r="K320" i="4"/>
  <c r="T319" i="4"/>
  <c r="Q319" i="4"/>
  <c r="P319" i="4"/>
  <c r="O319" i="4"/>
  <c r="N319" i="4"/>
  <c r="K319" i="4"/>
  <c r="T318" i="4"/>
  <c r="Q318" i="4"/>
  <c r="P318" i="4"/>
  <c r="O318" i="4"/>
  <c r="N318" i="4"/>
  <c r="K318" i="4"/>
  <c r="T317" i="4"/>
  <c r="Q317" i="4"/>
  <c r="P317" i="4"/>
  <c r="O317" i="4"/>
  <c r="N317" i="4"/>
  <c r="K317" i="4"/>
  <c r="T316" i="4"/>
  <c r="Q316" i="4"/>
  <c r="P316" i="4"/>
  <c r="O316" i="4"/>
  <c r="N316" i="4"/>
  <c r="K316" i="4"/>
  <c r="T315" i="4"/>
  <c r="Q315" i="4"/>
  <c r="P315" i="4"/>
  <c r="O315" i="4"/>
  <c r="N315" i="4"/>
  <c r="K315" i="4"/>
  <c r="T314" i="4"/>
  <c r="Q314" i="4"/>
  <c r="P314" i="4"/>
  <c r="O314" i="4"/>
  <c r="N314" i="4"/>
  <c r="K314" i="4"/>
  <c r="T313" i="4"/>
  <c r="Q313" i="4"/>
  <c r="P313" i="4"/>
  <c r="O313" i="4"/>
  <c r="N313" i="4"/>
  <c r="K313" i="4"/>
  <c r="T312" i="4"/>
  <c r="Q312" i="4"/>
  <c r="P312" i="4"/>
  <c r="O312" i="4"/>
  <c r="N312" i="4"/>
  <c r="K312" i="4"/>
  <c r="T311" i="4"/>
  <c r="Q311" i="4"/>
  <c r="P311" i="4"/>
  <c r="O311" i="4"/>
  <c r="N311" i="4"/>
  <c r="K311" i="4"/>
  <c r="T310" i="4"/>
  <c r="Q310" i="4"/>
  <c r="P310" i="4"/>
  <c r="O310" i="4"/>
  <c r="N310" i="4"/>
  <c r="K310" i="4"/>
  <c r="T309" i="4"/>
  <c r="Q309" i="4"/>
  <c r="P309" i="4"/>
  <c r="O309" i="4"/>
  <c r="N309" i="4"/>
  <c r="K309" i="4"/>
  <c r="T308" i="4"/>
  <c r="Q308" i="4"/>
  <c r="P308" i="4"/>
  <c r="O308" i="4"/>
  <c r="N308" i="4"/>
  <c r="K308" i="4"/>
  <c r="T307" i="4"/>
  <c r="Q307" i="4"/>
  <c r="P307" i="4"/>
  <c r="O307" i="4"/>
  <c r="N307" i="4"/>
  <c r="K307" i="4"/>
  <c r="T306" i="4"/>
  <c r="Q306" i="4"/>
  <c r="P306" i="4"/>
  <c r="O306" i="4"/>
  <c r="N306" i="4"/>
  <c r="K306" i="4"/>
  <c r="J305" i="4"/>
  <c r="G305" i="4"/>
  <c r="F305" i="4"/>
  <c r="F386" i="4" s="1"/>
  <c r="T300" i="4"/>
  <c r="Q300" i="4"/>
  <c r="P300" i="4"/>
  <c r="O300" i="4"/>
  <c r="N300" i="4"/>
  <c r="K300" i="4"/>
  <c r="T299" i="4"/>
  <c r="Q299" i="4"/>
  <c r="P299" i="4"/>
  <c r="O299" i="4"/>
  <c r="N299" i="4"/>
  <c r="K299" i="4"/>
  <c r="T298" i="4"/>
  <c r="Q298" i="4"/>
  <c r="P298" i="4"/>
  <c r="O298" i="4"/>
  <c r="N298" i="4"/>
  <c r="K298" i="4"/>
  <c r="T297" i="4"/>
  <c r="Q297" i="4"/>
  <c r="P297" i="4"/>
  <c r="O297" i="4"/>
  <c r="N297" i="4"/>
  <c r="K297" i="4"/>
  <c r="T296" i="4"/>
  <c r="Q296" i="4"/>
  <c r="P296" i="4"/>
  <c r="O296" i="4"/>
  <c r="N296" i="4"/>
  <c r="K296" i="4"/>
  <c r="T295" i="4"/>
  <c r="Q295" i="4"/>
  <c r="P295" i="4"/>
  <c r="O295" i="4"/>
  <c r="N295" i="4"/>
  <c r="K295" i="4"/>
  <c r="T294" i="4"/>
  <c r="Q294" i="4"/>
  <c r="P294" i="4"/>
  <c r="O294" i="4"/>
  <c r="N294" i="4"/>
  <c r="K294" i="4"/>
  <c r="T293" i="4"/>
  <c r="Q293" i="4"/>
  <c r="P293" i="4"/>
  <c r="O293" i="4"/>
  <c r="N293" i="4"/>
  <c r="K293" i="4"/>
  <c r="T292" i="4"/>
  <c r="Q292" i="4"/>
  <c r="P292" i="4"/>
  <c r="O292" i="4"/>
  <c r="N292" i="4"/>
  <c r="K292" i="4"/>
  <c r="T291" i="4"/>
  <c r="Q291" i="4"/>
  <c r="P291" i="4"/>
  <c r="O291" i="4"/>
  <c r="N291" i="4"/>
  <c r="K291" i="4"/>
  <c r="T290" i="4"/>
  <c r="Q290" i="4"/>
  <c r="P290" i="4"/>
  <c r="O290" i="4"/>
  <c r="N290" i="4"/>
  <c r="K290" i="4"/>
  <c r="T289" i="4"/>
  <c r="Q289" i="4"/>
  <c r="P289" i="4"/>
  <c r="O289" i="4"/>
  <c r="N289" i="4"/>
  <c r="K289" i="4"/>
  <c r="T288" i="4"/>
  <c r="Q288" i="4"/>
  <c r="P288" i="4"/>
  <c r="O288" i="4"/>
  <c r="N288" i="4"/>
  <c r="K288" i="4"/>
  <c r="T287" i="4"/>
  <c r="Q287" i="4"/>
  <c r="P287" i="4"/>
  <c r="O287" i="4"/>
  <c r="N287" i="4"/>
  <c r="K287" i="4"/>
  <c r="T286" i="4"/>
  <c r="Q286" i="4"/>
  <c r="P286" i="4"/>
  <c r="O286" i="4"/>
  <c r="N286" i="4"/>
  <c r="K286" i="4"/>
  <c r="T285" i="4"/>
  <c r="Q285" i="4"/>
  <c r="P285" i="4"/>
  <c r="O285" i="4"/>
  <c r="N285" i="4"/>
  <c r="K285" i="4"/>
  <c r="T284" i="4"/>
  <c r="Q284" i="4"/>
  <c r="P284" i="4"/>
  <c r="O284" i="4"/>
  <c r="N284" i="4"/>
  <c r="K284" i="4"/>
  <c r="T283" i="4"/>
  <c r="Q283" i="4"/>
  <c r="P283" i="4"/>
  <c r="O283" i="4"/>
  <c r="N283" i="4"/>
  <c r="K283" i="4"/>
  <c r="T282" i="4"/>
  <c r="Q282" i="4"/>
  <c r="P282" i="4"/>
  <c r="O282" i="4"/>
  <c r="N282" i="4"/>
  <c r="K282" i="4"/>
  <c r="T281" i="4"/>
  <c r="Q281" i="4"/>
  <c r="P281" i="4"/>
  <c r="O281" i="4"/>
  <c r="N281" i="4"/>
  <c r="K281" i="4"/>
  <c r="T280" i="4"/>
  <c r="Q280" i="4"/>
  <c r="P280" i="4"/>
  <c r="O280" i="4"/>
  <c r="N280" i="4"/>
  <c r="K280" i="4"/>
  <c r="T279" i="4"/>
  <c r="Q279" i="4"/>
  <c r="P279" i="4"/>
  <c r="O279" i="4"/>
  <c r="N279" i="4"/>
  <c r="K279" i="4"/>
  <c r="T278" i="4"/>
  <c r="Q278" i="4"/>
  <c r="P278" i="4"/>
  <c r="O278" i="4"/>
  <c r="N278" i="4"/>
  <c r="K278" i="4"/>
  <c r="T277" i="4"/>
  <c r="Q277" i="4"/>
  <c r="P277" i="4"/>
  <c r="O277" i="4"/>
  <c r="N277" i="4"/>
  <c r="K277" i="4"/>
  <c r="T276" i="4"/>
  <c r="Q276" i="4"/>
  <c r="P276" i="4"/>
  <c r="O276" i="4"/>
  <c r="N276" i="4"/>
  <c r="K276" i="4"/>
  <c r="T275" i="4"/>
  <c r="Q275" i="4"/>
  <c r="P275" i="4"/>
  <c r="O275" i="4"/>
  <c r="N275" i="4"/>
  <c r="K275" i="4"/>
  <c r="T274" i="4"/>
  <c r="Q274" i="4"/>
  <c r="P274" i="4"/>
  <c r="O274" i="4"/>
  <c r="N274" i="4"/>
  <c r="K274" i="4"/>
  <c r="T273" i="4"/>
  <c r="Q273" i="4"/>
  <c r="P273" i="4"/>
  <c r="O273" i="4"/>
  <c r="N273" i="4"/>
  <c r="K273" i="4"/>
  <c r="T272" i="4"/>
  <c r="Q272" i="4"/>
  <c r="P272" i="4"/>
  <c r="O272" i="4"/>
  <c r="N272" i="4"/>
  <c r="K272" i="4"/>
  <c r="T271" i="4"/>
  <c r="Q271" i="4"/>
  <c r="P271" i="4"/>
  <c r="O271" i="4"/>
  <c r="N271" i="4"/>
  <c r="K271" i="4"/>
  <c r="T270" i="4"/>
  <c r="Q270" i="4"/>
  <c r="P270" i="4"/>
  <c r="O270" i="4"/>
  <c r="N270" i="4"/>
  <c r="K270" i="4"/>
  <c r="T269" i="4"/>
  <c r="Q269" i="4"/>
  <c r="P269" i="4"/>
  <c r="O269" i="4"/>
  <c r="N269" i="4"/>
  <c r="K269" i="4"/>
  <c r="T268" i="4"/>
  <c r="Q268" i="4"/>
  <c r="P268" i="4"/>
  <c r="O268" i="4"/>
  <c r="N268" i="4"/>
  <c r="K268" i="4"/>
  <c r="T267" i="4"/>
  <c r="Q267" i="4"/>
  <c r="P267" i="4"/>
  <c r="O267" i="4"/>
  <c r="N267" i="4"/>
  <c r="K267" i="4"/>
  <c r="T266" i="4"/>
  <c r="Q266" i="4"/>
  <c r="P266" i="4"/>
  <c r="O266" i="4"/>
  <c r="N266" i="4"/>
  <c r="K266" i="4"/>
  <c r="J265" i="4"/>
  <c r="G265" i="4"/>
  <c r="F265" i="4"/>
  <c r="F301" i="4" s="1"/>
  <c r="T260" i="4"/>
  <c r="Q260" i="4"/>
  <c r="P260" i="4"/>
  <c r="O260" i="4"/>
  <c r="N260" i="4"/>
  <c r="K260" i="4"/>
  <c r="T259" i="4"/>
  <c r="Q259" i="4"/>
  <c r="P259" i="4"/>
  <c r="O259" i="4"/>
  <c r="N259" i="4"/>
  <c r="K259" i="4"/>
  <c r="T258" i="4"/>
  <c r="Q258" i="4"/>
  <c r="P258" i="4"/>
  <c r="O258" i="4"/>
  <c r="N258" i="4"/>
  <c r="K258" i="4"/>
  <c r="T257" i="4"/>
  <c r="Q257" i="4"/>
  <c r="P257" i="4"/>
  <c r="O257" i="4"/>
  <c r="N257" i="4"/>
  <c r="K257" i="4"/>
  <c r="T256" i="4"/>
  <c r="Q256" i="4"/>
  <c r="P256" i="4"/>
  <c r="O256" i="4"/>
  <c r="N256" i="4"/>
  <c r="K256" i="4"/>
  <c r="T255" i="4"/>
  <c r="Q255" i="4"/>
  <c r="P255" i="4"/>
  <c r="O255" i="4"/>
  <c r="N255" i="4"/>
  <c r="K255" i="4"/>
  <c r="T254" i="4"/>
  <c r="Q254" i="4"/>
  <c r="P254" i="4"/>
  <c r="O254" i="4"/>
  <c r="N254" i="4"/>
  <c r="K254" i="4"/>
  <c r="T253" i="4"/>
  <c r="Q253" i="4"/>
  <c r="P253" i="4"/>
  <c r="O253" i="4"/>
  <c r="N253" i="4"/>
  <c r="K253" i="4"/>
  <c r="T252" i="4"/>
  <c r="Q252" i="4"/>
  <c r="P252" i="4"/>
  <c r="O252" i="4"/>
  <c r="N252" i="4"/>
  <c r="K252" i="4"/>
  <c r="T251" i="4"/>
  <c r="Q251" i="4"/>
  <c r="P251" i="4"/>
  <c r="O251" i="4"/>
  <c r="N251" i="4"/>
  <c r="K251" i="4"/>
  <c r="T250" i="4"/>
  <c r="Q250" i="4"/>
  <c r="P250" i="4"/>
  <c r="O250" i="4"/>
  <c r="N250" i="4"/>
  <c r="K250" i="4"/>
  <c r="T249" i="4"/>
  <c r="Q249" i="4"/>
  <c r="P249" i="4"/>
  <c r="O249" i="4"/>
  <c r="N249" i="4"/>
  <c r="K249" i="4"/>
  <c r="T248" i="4"/>
  <c r="Q248" i="4"/>
  <c r="P248" i="4"/>
  <c r="O248" i="4"/>
  <c r="N248" i="4"/>
  <c r="K248" i="4"/>
  <c r="T247" i="4"/>
  <c r="Q247" i="4"/>
  <c r="P247" i="4"/>
  <c r="O247" i="4"/>
  <c r="N247" i="4"/>
  <c r="K247" i="4"/>
  <c r="T246" i="4"/>
  <c r="Q246" i="4"/>
  <c r="P246" i="4"/>
  <c r="O246" i="4"/>
  <c r="N246" i="4"/>
  <c r="K246" i="4"/>
  <c r="T245" i="4"/>
  <c r="Q245" i="4"/>
  <c r="P245" i="4"/>
  <c r="O245" i="4"/>
  <c r="N245" i="4"/>
  <c r="K245" i="4"/>
  <c r="T244" i="4"/>
  <c r="Q244" i="4"/>
  <c r="P244" i="4"/>
  <c r="O244" i="4"/>
  <c r="N244" i="4"/>
  <c r="K244" i="4"/>
  <c r="T243" i="4"/>
  <c r="Q243" i="4"/>
  <c r="P243" i="4"/>
  <c r="O243" i="4"/>
  <c r="N243" i="4"/>
  <c r="K243" i="4"/>
  <c r="T242" i="4"/>
  <c r="Q242" i="4"/>
  <c r="P242" i="4"/>
  <c r="O242" i="4"/>
  <c r="N242" i="4"/>
  <c r="K242" i="4"/>
  <c r="T241" i="4"/>
  <c r="Q241" i="4"/>
  <c r="P241" i="4"/>
  <c r="O241" i="4"/>
  <c r="N241" i="4"/>
  <c r="K241" i="4"/>
  <c r="T240" i="4"/>
  <c r="Q240" i="4"/>
  <c r="P240" i="4"/>
  <c r="O240" i="4"/>
  <c r="N240" i="4"/>
  <c r="K240" i="4"/>
  <c r="T239" i="4"/>
  <c r="Q239" i="4"/>
  <c r="P239" i="4"/>
  <c r="O239" i="4"/>
  <c r="N239" i="4"/>
  <c r="K239" i="4"/>
  <c r="T238" i="4"/>
  <c r="Q238" i="4"/>
  <c r="P238" i="4"/>
  <c r="O238" i="4"/>
  <c r="N238" i="4"/>
  <c r="K238" i="4"/>
  <c r="T237" i="4"/>
  <c r="Q237" i="4"/>
  <c r="P237" i="4"/>
  <c r="O237" i="4"/>
  <c r="N237" i="4"/>
  <c r="K237" i="4"/>
  <c r="T236" i="4"/>
  <c r="Q236" i="4"/>
  <c r="P236" i="4"/>
  <c r="O236" i="4"/>
  <c r="N236" i="4"/>
  <c r="K236" i="4"/>
  <c r="T235" i="4"/>
  <c r="Q235" i="4"/>
  <c r="P235" i="4"/>
  <c r="O235" i="4"/>
  <c r="N235" i="4"/>
  <c r="K235" i="4"/>
  <c r="T234" i="4"/>
  <c r="Q234" i="4"/>
  <c r="P234" i="4"/>
  <c r="O234" i="4"/>
  <c r="N234" i="4"/>
  <c r="K234" i="4"/>
  <c r="T233" i="4"/>
  <c r="Q233" i="4"/>
  <c r="P233" i="4"/>
  <c r="O233" i="4"/>
  <c r="N233" i="4"/>
  <c r="K233" i="4"/>
  <c r="T232" i="4"/>
  <c r="Q232" i="4"/>
  <c r="P232" i="4"/>
  <c r="O232" i="4"/>
  <c r="N232" i="4"/>
  <c r="K232" i="4"/>
  <c r="T231" i="4"/>
  <c r="Q231" i="4"/>
  <c r="P231" i="4"/>
  <c r="O231" i="4"/>
  <c r="N231" i="4"/>
  <c r="K231" i="4"/>
  <c r="T230" i="4"/>
  <c r="Q230" i="4"/>
  <c r="P230" i="4"/>
  <c r="O230" i="4"/>
  <c r="N230" i="4"/>
  <c r="K230" i="4"/>
  <c r="T229" i="4"/>
  <c r="Q229" i="4"/>
  <c r="P229" i="4"/>
  <c r="O229" i="4"/>
  <c r="N229" i="4"/>
  <c r="K229" i="4"/>
  <c r="T228" i="4"/>
  <c r="Q228" i="4"/>
  <c r="P228" i="4"/>
  <c r="O228" i="4"/>
  <c r="N228" i="4"/>
  <c r="K228" i="4"/>
  <c r="T227" i="4"/>
  <c r="Q227" i="4"/>
  <c r="P227" i="4"/>
  <c r="O227" i="4"/>
  <c r="N227" i="4"/>
  <c r="K227" i="4"/>
  <c r="T226" i="4"/>
  <c r="Q226" i="4"/>
  <c r="P226" i="4"/>
  <c r="O226" i="4"/>
  <c r="N226" i="4"/>
  <c r="K226" i="4"/>
  <c r="T225" i="4"/>
  <c r="Q225" i="4"/>
  <c r="P225" i="4"/>
  <c r="O225" i="4"/>
  <c r="N225" i="4"/>
  <c r="K225" i="4"/>
  <c r="T224" i="4"/>
  <c r="Q224" i="4"/>
  <c r="P224" i="4"/>
  <c r="O224" i="4"/>
  <c r="N224" i="4"/>
  <c r="K224" i="4"/>
  <c r="T223" i="4"/>
  <c r="Q223" i="4"/>
  <c r="P223" i="4"/>
  <c r="O223" i="4"/>
  <c r="N223" i="4"/>
  <c r="K223" i="4"/>
  <c r="T222" i="4"/>
  <c r="Q222" i="4"/>
  <c r="P222" i="4"/>
  <c r="O222" i="4"/>
  <c r="N222" i="4"/>
  <c r="K222" i="4"/>
  <c r="T221" i="4"/>
  <c r="Q221" i="4"/>
  <c r="P221" i="4"/>
  <c r="O221" i="4"/>
  <c r="N221" i="4"/>
  <c r="K221" i="4"/>
  <c r="T220" i="4"/>
  <c r="Q220" i="4"/>
  <c r="P220" i="4"/>
  <c r="O220" i="4"/>
  <c r="N220" i="4"/>
  <c r="K220" i="4"/>
  <c r="T219" i="4"/>
  <c r="Q219" i="4"/>
  <c r="P219" i="4"/>
  <c r="O219" i="4"/>
  <c r="N219" i="4"/>
  <c r="K219" i="4"/>
  <c r="T218" i="4"/>
  <c r="Q218" i="4"/>
  <c r="P218" i="4"/>
  <c r="O218" i="4"/>
  <c r="N218" i="4"/>
  <c r="K218" i="4"/>
  <c r="T217" i="4"/>
  <c r="Q217" i="4"/>
  <c r="P217" i="4"/>
  <c r="O217" i="4"/>
  <c r="N217" i="4"/>
  <c r="K217" i="4"/>
  <c r="T216" i="4"/>
  <c r="Q216" i="4"/>
  <c r="P216" i="4"/>
  <c r="O216" i="4"/>
  <c r="N216" i="4"/>
  <c r="K216" i="4"/>
  <c r="T215" i="4"/>
  <c r="Q215" i="4"/>
  <c r="P215" i="4"/>
  <c r="O215" i="4"/>
  <c r="N215" i="4"/>
  <c r="K215" i="4"/>
  <c r="T214" i="4"/>
  <c r="Q214" i="4"/>
  <c r="P214" i="4"/>
  <c r="O214" i="4"/>
  <c r="N214" i="4"/>
  <c r="K214" i="4"/>
  <c r="T213" i="4"/>
  <c r="Q213" i="4"/>
  <c r="P213" i="4"/>
  <c r="O213" i="4"/>
  <c r="N213" i="4"/>
  <c r="K213" i="4"/>
  <c r="T212" i="4"/>
  <c r="Q212" i="4"/>
  <c r="P212" i="4"/>
  <c r="O212" i="4"/>
  <c r="N212" i="4"/>
  <c r="K212" i="4"/>
  <c r="T211" i="4"/>
  <c r="Q211" i="4"/>
  <c r="P211" i="4"/>
  <c r="O211" i="4"/>
  <c r="N211" i="4"/>
  <c r="K211" i="4"/>
  <c r="T210" i="4"/>
  <c r="Q210" i="4"/>
  <c r="P210" i="4"/>
  <c r="O210" i="4"/>
  <c r="N210" i="4"/>
  <c r="K210" i="4"/>
  <c r="T209" i="4"/>
  <c r="Q209" i="4"/>
  <c r="P209" i="4"/>
  <c r="O209" i="4"/>
  <c r="N209" i="4"/>
  <c r="K209" i="4"/>
  <c r="T208" i="4"/>
  <c r="Q208" i="4"/>
  <c r="P208" i="4"/>
  <c r="O208" i="4"/>
  <c r="N208" i="4"/>
  <c r="K208" i="4"/>
  <c r="T207" i="4"/>
  <c r="Q207" i="4"/>
  <c r="P207" i="4"/>
  <c r="O207" i="4"/>
  <c r="N207" i="4"/>
  <c r="K207" i="4"/>
  <c r="T206" i="4"/>
  <c r="Q206" i="4"/>
  <c r="P206" i="4"/>
  <c r="O206" i="4"/>
  <c r="N206" i="4"/>
  <c r="K206" i="4"/>
  <c r="T205" i="4"/>
  <c r="Q205" i="4"/>
  <c r="P205" i="4"/>
  <c r="O205" i="4"/>
  <c r="N205" i="4"/>
  <c r="K205" i="4"/>
  <c r="T204" i="4"/>
  <c r="Q204" i="4"/>
  <c r="P204" i="4"/>
  <c r="O204" i="4"/>
  <c r="N204" i="4"/>
  <c r="K204" i="4"/>
  <c r="T203" i="4"/>
  <c r="Q203" i="4"/>
  <c r="P203" i="4"/>
  <c r="O203" i="4"/>
  <c r="N203" i="4"/>
  <c r="K203" i="4"/>
  <c r="T202" i="4"/>
  <c r="Q202" i="4"/>
  <c r="P202" i="4"/>
  <c r="O202" i="4"/>
  <c r="N202" i="4"/>
  <c r="K202" i="4"/>
  <c r="T201" i="4"/>
  <c r="Q201" i="4"/>
  <c r="P201" i="4"/>
  <c r="O201" i="4"/>
  <c r="N201" i="4"/>
  <c r="K201" i="4"/>
  <c r="T200" i="4"/>
  <c r="Q200" i="4"/>
  <c r="P200" i="4"/>
  <c r="O200" i="4"/>
  <c r="N200" i="4"/>
  <c r="K200" i="4"/>
  <c r="T199" i="4"/>
  <c r="Q199" i="4"/>
  <c r="P199" i="4"/>
  <c r="O199" i="4"/>
  <c r="N199" i="4"/>
  <c r="K199" i="4"/>
  <c r="T198" i="4"/>
  <c r="Q198" i="4"/>
  <c r="P198" i="4"/>
  <c r="O198" i="4"/>
  <c r="N198" i="4"/>
  <c r="K198" i="4"/>
  <c r="T197" i="4"/>
  <c r="Q197" i="4"/>
  <c r="P197" i="4"/>
  <c r="O197" i="4"/>
  <c r="N197" i="4"/>
  <c r="K197" i="4"/>
  <c r="T196" i="4"/>
  <c r="Q196" i="4"/>
  <c r="P196" i="4"/>
  <c r="O196" i="4"/>
  <c r="N196" i="4"/>
  <c r="K196" i="4"/>
  <c r="T195" i="4"/>
  <c r="Q195" i="4"/>
  <c r="P195" i="4"/>
  <c r="O195" i="4"/>
  <c r="N195" i="4"/>
  <c r="K195" i="4"/>
  <c r="T194" i="4"/>
  <c r="Q194" i="4"/>
  <c r="P194" i="4"/>
  <c r="O194" i="4"/>
  <c r="N194" i="4"/>
  <c r="K194" i="4"/>
  <c r="T193" i="4"/>
  <c r="Q193" i="4"/>
  <c r="P193" i="4"/>
  <c r="O193" i="4"/>
  <c r="N193" i="4"/>
  <c r="K193" i="4"/>
  <c r="T192" i="4"/>
  <c r="Q192" i="4"/>
  <c r="P192" i="4"/>
  <c r="O192" i="4"/>
  <c r="N192" i="4"/>
  <c r="K192" i="4"/>
  <c r="T191" i="4"/>
  <c r="Q191" i="4"/>
  <c r="P191" i="4"/>
  <c r="O191" i="4"/>
  <c r="N191" i="4"/>
  <c r="K191" i="4"/>
  <c r="T190" i="4"/>
  <c r="Q190" i="4"/>
  <c r="P190" i="4"/>
  <c r="O190" i="4"/>
  <c r="N190" i="4"/>
  <c r="K190" i="4"/>
  <c r="T189" i="4"/>
  <c r="Q189" i="4"/>
  <c r="P189" i="4"/>
  <c r="O189" i="4"/>
  <c r="N189" i="4"/>
  <c r="K189" i="4"/>
  <c r="T188" i="4"/>
  <c r="Q188" i="4"/>
  <c r="P188" i="4"/>
  <c r="O188" i="4"/>
  <c r="N188" i="4"/>
  <c r="K188" i="4"/>
  <c r="T187" i="4"/>
  <c r="Q187" i="4"/>
  <c r="P187" i="4"/>
  <c r="O187" i="4"/>
  <c r="N187" i="4"/>
  <c r="K187" i="4"/>
  <c r="T186" i="4"/>
  <c r="Q186" i="4"/>
  <c r="P186" i="4"/>
  <c r="O186" i="4"/>
  <c r="N186" i="4"/>
  <c r="K186" i="4"/>
  <c r="T185" i="4"/>
  <c r="Q185" i="4"/>
  <c r="P185" i="4"/>
  <c r="O185" i="4"/>
  <c r="N185" i="4"/>
  <c r="K185" i="4"/>
  <c r="T184" i="4"/>
  <c r="Q184" i="4"/>
  <c r="P184" i="4"/>
  <c r="O184" i="4"/>
  <c r="N184" i="4"/>
  <c r="K184" i="4"/>
  <c r="T183" i="4"/>
  <c r="Q183" i="4"/>
  <c r="P183" i="4"/>
  <c r="O183" i="4"/>
  <c r="N183" i="4"/>
  <c r="K183" i="4"/>
  <c r="T182" i="4"/>
  <c r="Q182" i="4"/>
  <c r="P182" i="4"/>
  <c r="O182" i="4"/>
  <c r="N182" i="4"/>
  <c r="K182" i="4"/>
  <c r="T181" i="4"/>
  <c r="Q181" i="4"/>
  <c r="P181" i="4"/>
  <c r="O181" i="4"/>
  <c r="N181" i="4"/>
  <c r="K181" i="4"/>
  <c r="T180" i="4"/>
  <c r="Q180" i="4"/>
  <c r="P180" i="4"/>
  <c r="O180" i="4"/>
  <c r="N180" i="4"/>
  <c r="K180" i="4"/>
  <c r="T179" i="4"/>
  <c r="Q179" i="4"/>
  <c r="P179" i="4"/>
  <c r="O179" i="4"/>
  <c r="N179" i="4"/>
  <c r="K179" i="4"/>
  <c r="T178" i="4"/>
  <c r="Q178" i="4"/>
  <c r="P178" i="4"/>
  <c r="O178" i="4"/>
  <c r="N178" i="4"/>
  <c r="K178" i="4"/>
  <c r="T177" i="4"/>
  <c r="Q177" i="4"/>
  <c r="P177" i="4"/>
  <c r="O177" i="4"/>
  <c r="N177" i="4"/>
  <c r="K177" i="4"/>
  <c r="T176" i="4"/>
  <c r="Q176" i="4"/>
  <c r="P176" i="4"/>
  <c r="O176" i="4"/>
  <c r="N176" i="4"/>
  <c r="K176" i="4"/>
  <c r="T175" i="4"/>
  <c r="Q175" i="4"/>
  <c r="P175" i="4"/>
  <c r="O175" i="4"/>
  <c r="N175" i="4"/>
  <c r="K175" i="4"/>
  <c r="T174" i="4"/>
  <c r="Q174" i="4"/>
  <c r="P174" i="4"/>
  <c r="O174" i="4"/>
  <c r="N174" i="4"/>
  <c r="K174" i="4"/>
  <c r="T173" i="4"/>
  <c r="Q173" i="4"/>
  <c r="P173" i="4"/>
  <c r="O173" i="4"/>
  <c r="N173" i="4"/>
  <c r="K173" i="4"/>
  <c r="T172" i="4"/>
  <c r="Q172" i="4"/>
  <c r="P172" i="4"/>
  <c r="O172" i="4"/>
  <c r="N172" i="4"/>
  <c r="K172" i="4"/>
  <c r="T171" i="4"/>
  <c r="Q171" i="4"/>
  <c r="P171" i="4"/>
  <c r="O171" i="4"/>
  <c r="N171" i="4"/>
  <c r="K171" i="4"/>
  <c r="T170" i="4"/>
  <c r="Q170" i="4"/>
  <c r="P170" i="4"/>
  <c r="O170" i="4"/>
  <c r="N170" i="4"/>
  <c r="K170" i="4"/>
  <c r="T169" i="4"/>
  <c r="Q169" i="4"/>
  <c r="P169" i="4"/>
  <c r="O169" i="4"/>
  <c r="N169" i="4"/>
  <c r="K169" i="4"/>
  <c r="T168" i="4"/>
  <c r="Q168" i="4"/>
  <c r="P168" i="4"/>
  <c r="O168" i="4"/>
  <c r="N168" i="4"/>
  <c r="K168" i="4"/>
  <c r="T167" i="4"/>
  <c r="Q167" i="4"/>
  <c r="P167" i="4"/>
  <c r="O167" i="4"/>
  <c r="N167" i="4"/>
  <c r="K167" i="4"/>
  <c r="T166" i="4"/>
  <c r="Q166" i="4"/>
  <c r="P166" i="4"/>
  <c r="O166" i="4"/>
  <c r="N166" i="4"/>
  <c r="K166" i="4"/>
  <c r="T165" i="4"/>
  <c r="Q165" i="4"/>
  <c r="P165" i="4"/>
  <c r="O165" i="4"/>
  <c r="N165" i="4"/>
  <c r="K165" i="4"/>
  <c r="T164" i="4"/>
  <c r="Q164" i="4"/>
  <c r="P164" i="4"/>
  <c r="O164" i="4"/>
  <c r="N164" i="4"/>
  <c r="K164" i="4"/>
  <c r="T163" i="4"/>
  <c r="Q163" i="4"/>
  <c r="P163" i="4"/>
  <c r="O163" i="4"/>
  <c r="N163" i="4"/>
  <c r="K163" i="4"/>
  <c r="T162" i="4"/>
  <c r="Q162" i="4"/>
  <c r="P162" i="4"/>
  <c r="O162" i="4"/>
  <c r="N162" i="4"/>
  <c r="K162" i="4"/>
  <c r="T161" i="4"/>
  <c r="Q161" i="4"/>
  <c r="P161" i="4"/>
  <c r="O161" i="4"/>
  <c r="N161" i="4"/>
  <c r="K161" i="4"/>
  <c r="T160" i="4"/>
  <c r="Q160" i="4"/>
  <c r="P160" i="4"/>
  <c r="O160" i="4"/>
  <c r="N160" i="4"/>
  <c r="K160" i="4"/>
  <c r="T159" i="4"/>
  <c r="Q159" i="4"/>
  <c r="P159" i="4"/>
  <c r="O159" i="4"/>
  <c r="N159" i="4"/>
  <c r="K159" i="4"/>
  <c r="T158" i="4"/>
  <c r="Q158" i="4"/>
  <c r="P158" i="4"/>
  <c r="O158" i="4"/>
  <c r="N158" i="4"/>
  <c r="K158" i="4"/>
  <c r="T157" i="4"/>
  <c r="Q157" i="4"/>
  <c r="P157" i="4"/>
  <c r="O157" i="4"/>
  <c r="N157" i="4"/>
  <c r="K157" i="4"/>
  <c r="T156" i="4"/>
  <c r="Q156" i="4"/>
  <c r="P156" i="4"/>
  <c r="O156" i="4"/>
  <c r="N156" i="4"/>
  <c r="K156" i="4"/>
  <c r="T155" i="4"/>
  <c r="Q155" i="4"/>
  <c r="P155" i="4"/>
  <c r="O155" i="4"/>
  <c r="N155" i="4"/>
  <c r="K155" i="4"/>
  <c r="T154" i="4"/>
  <c r="Q154" i="4"/>
  <c r="P154" i="4"/>
  <c r="O154" i="4"/>
  <c r="N154" i="4"/>
  <c r="K154" i="4"/>
  <c r="T153" i="4"/>
  <c r="Q153" i="4"/>
  <c r="P153" i="4"/>
  <c r="O153" i="4"/>
  <c r="N153" i="4"/>
  <c r="K153" i="4"/>
  <c r="T152" i="4"/>
  <c r="Q152" i="4"/>
  <c r="P152" i="4"/>
  <c r="O152" i="4"/>
  <c r="N152" i="4"/>
  <c r="K152" i="4"/>
  <c r="T151" i="4"/>
  <c r="Q151" i="4"/>
  <c r="P151" i="4"/>
  <c r="O151" i="4"/>
  <c r="N151" i="4"/>
  <c r="K151" i="4"/>
  <c r="T150" i="4"/>
  <c r="Q150" i="4"/>
  <c r="P150" i="4"/>
  <c r="O150" i="4"/>
  <c r="N150" i="4"/>
  <c r="K150" i="4"/>
  <c r="T149" i="4"/>
  <c r="Q149" i="4"/>
  <c r="P149" i="4"/>
  <c r="O149" i="4"/>
  <c r="N149" i="4"/>
  <c r="K149" i="4"/>
  <c r="T148" i="4"/>
  <c r="Q148" i="4"/>
  <c r="P148" i="4"/>
  <c r="O148" i="4"/>
  <c r="N148" i="4"/>
  <c r="K148" i="4"/>
  <c r="T147" i="4"/>
  <c r="Q147" i="4"/>
  <c r="P147" i="4"/>
  <c r="O147" i="4"/>
  <c r="N147" i="4"/>
  <c r="K147" i="4"/>
  <c r="T146" i="4"/>
  <c r="Q146" i="4"/>
  <c r="P146" i="4"/>
  <c r="O146" i="4"/>
  <c r="N146" i="4"/>
  <c r="K146" i="4"/>
  <c r="T145" i="4"/>
  <c r="Q145" i="4"/>
  <c r="P145" i="4"/>
  <c r="O145" i="4"/>
  <c r="N145" i="4"/>
  <c r="K145" i="4"/>
  <c r="T144" i="4"/>
  <c r="Q144" i="4"/>
  <c r="P144" i="4"/>
  <c r="O144" i="4"/>
  <c r="N144" i="4"/>
  <c r="K144" i="4"/>
  <c r="T143" i="4"/>
  <c r="Q143" i="4"/>
  <c r="P143" i="4"/>
  <c r="O143" i="4"/>
  <c r="N143" i="4"/>
  <c r="K143" i="4"/>
  <c r="T142" i="4"/>
  <c r="Q142" i="4"/>
  <c r="P142" i="4"/>
  <c r="O142" i="4"/>
  <c r="N142" i="4"/>
  <c r="K142" i="4"/>
  <c r="T141" i="4"/>
  <c r="Q141" i="4"/>
  <c r="P141" i="4"/>
  <c r="O141" i="4"/>
  <c r="N141" i="4"/>
  <c r="K141" i="4"/>
  <c r="T140" i="4"/>
  <c r="Q140" i="4"/>
  <c r="P140" i="4"/>
  <c r="O140" i="4"/>
  <c r="N140" i="4"/>
  <c r="K140" i="4"/>
  <c r="T139" i="4"/>
  <c r="Q139" i="4"/>
  <c r="P139" i="4"/>
  <c r="O139" i="4"/>
  <c r="N139" i="4"/>
  <c r="K139" i="4"/>
  <c r="T138" i="4"/>
  <c r="Q138" i="4"/>
  <c r="P138" i="4"/>
  <c r="O138" i="4"/>
  <c r="N138" i="4"/>
  <c r="K138" i="4"/>
  <c r="T137" i="4"/>
  <c r="Q137" i="4"/>
  <c r="P137" i="4"/>
  <c r="O137" i="4"/>
  <c r="N137" i="4"/>
  <c r="K137" i="4"/>
  <c r="T136" i="4"/>
  <c r="Q136" i="4"/>
  <c r="P136" i="4"/>
  <c r="O136" i="4"/>
  <c r="N136" i="4"/>
  <c r="K136" i="4"/>
  <c r="T135" i="4"/>
  <c r="Q135" i="4"/>
  <c r="P135" i="4"/>
  <c r="O135" i="4"/>
  <c r="N135" i="4"/>
  <c r="K135" i="4"/>
  <c r="T134" i="4"/>
  <c r="Q134" i="4"/>
  <c r="P134" i="4"/>
  <c r="O134" i="4"/>
  <c r="N134" i="4"/>
  <c r="K134" i="4"/>
  <c r="T133" i="4"/>
  <c r="Q133" i="4"/>
  <c r="P133" i="4"/>
  <c r="O133" i="4"/>
  <c r="N133" i="4"/>
  <c r="K133" i="4"/>
  <c r="T132" i="4"/>
  <c r="Q132" i="4"/>
  <c r="P132" i="4"/>
  <c r="O132" i="4"/>
  <c r="N132" i="4"/>
  <c r="K132" i="4"/>
  <c r="T131" i="4"/>
  <c r="Q131" i="4"/>
  <c r="P131" i="4"/>
  <c r="O131" i="4"/>
  <c r="N131" i="4"/>
  <c r="K131" i="4"/>
  <c r="T130" i="4"/>
  <c r="Q130" i="4"/>
  <c r="P130" i="4"/>
  <c r="O130" i="4"/>
  <c r="N130" i="4"/>
  <c r="K130" i="4"/>
  <c r="T129" i="4"/>
  <c r="Q129" i="4"/>
  <c r="P129" i="4"/>
  <c r="O129" i="4"/>
  <c r="N129" i="4"/>
  <c r="K129" i="4"/>
  <c r="T128" i="4"/>
  <c r="Q128" i="4"/>
  <c r="P128" i="4"/>
  <c r="O128" i="4"/>
  <c r="N128" i="4"/>
  <c r="K128" i="4"/>
  <c r="J127" i="4"/>
  <c r="G127" i="4"/>
  <c r="I127" i="4" s="1"/>
  <c r="F127" i="4"/>
  <c r="T122" i="4"/>
  <c r="Q122" i="4"/>
  <c r="P122" i="4"/>
  <c r="O122" i="4"/>
  <c r="N122" i="4"/>
  <c r="K122" i="4"/>
  <c r="T121" i="4"/>
  <c r="Q121" i="4"/>
  <c r="P121" i="4"/>
  <c r="O121" i="4"/>
  <c r="N121" i="4"/>
  <c r="K121" i="4"/>
  <c r="T120" i="4"/>
  <c r="Q120" i="4"/>
  <c r="P120" i="4"/>
  <c r="O120" i="4"/>
  <c r="N120" i="4"/>
  <c r="K120" i="4"/>
  <c r="T119" i="4"/>
  <c r="Q119" i="4"/>
  <c r="P119" i="4"/>
  <c r="O119" i="4"/>
  <c r="N119" i="4"/>
  <c r="K119" i="4"/>
  <c r="T118" i="4"/>
  <c r="Q118" i="4"/>
  <c r="P118" i="4"/>
  <c r="O118" i="4"/>
  <c r="N118" i="4"/>
  <c r="K118" i="4"/>
  <c r="T117" i="4"/>
  <c r="Q117" i="4"/>
  <c r="P117" i="4"/>
  <c r="O117" i="4"/>
  <c r="N117" i="4"/>
  <c r="K117" i="4"/>
  <c r="T116" i="4"/>
  <c r="Q116" i="4"/>
  <c r="P116" i="4"/>
  <c r="O116" i="4"/>
  <c r="N116" i="4"/>
  <c r="K116" i="4"/>
  <c r="T115" i="4"/>
  <c r="Q115" i="4"/>
  <c r="P115" i="4"/>
  <c r="O115" i="4"/>
  <c r="N115" i="4"/>
  <c r="K115" i="4"/>
  <c r="T114" i="4"/>
  <c r="Q114" i="4"/>
  <c r="P114" i="4"/>
  <c r="O114" i="4"/>
  <c r="N114" i="4"/>
  <c r="K114" i="4"/>
  <c r="T113" i="4"/>
  <c r="Q113" i="4"/>
  <c r="P113" i="4"/>
  <c r="O113" i="4"/>
  <c r="N113" i="4"/>
  <c r="K113" i="4"/>
  <c r="T112" i="4"/>
  <c r="Q112" i="4"/>
  <c r="P112" i="4"/>
  <c r="O112" i="4"/>
  <c r="N112" i="4"/>
  <c r="K112" i="4"/>
  <c r="T111" i="4"/>
  <c r="Q111" i="4"/>
  <c r="P111" i="4"/>
  <c r="O111" i="4"/>
  <c r="N111" i="4"/>
  <c r="K111" i="4"/>
  <c r="T110" i="4"/>
  <c r="Q110" i="4"/>
  <c r="P110" i="4"/>
  <c r="O110" i="4"/>
  <c r="N110" i="4"/>
  <c r="K110" i="4"/>
  <c r="T109" i="4"/>
  <c r="Q109" i="4"/>
  <c r="P109" i="4"/>
  <c r="O109" i="4"/>
  <c r="N109" i="4"/>
  <c r="K109" i="4"/>
  <c r="T108" i="4"/>
  <c r="Q108" i="4"/>
  <c r="P108" i="4"/>
  <c r="O108" i="4"/>
  <c r="N108" i="4"/>
  <c r="K108" i="4"/>
  <c r="T107" i="4"/>
  <c r="Q107" i="4"/>
  <c r="P107" i="4"/>
  <c r="O107" i="4"/>
  <c r="N107" i="4"/>
  <c r="K107" i="4"/>
  <c r="T106" i="4"/>
  <c r="Q106" i="4"/>
  <c r="P106" i="4"/>
  <c r="O106" i="4"/>
  <c r="N106" i="4"/>
  <c r="K106" i="4"/>
  <c r="T105" i="4"/>
  <c r="Q105" i="4"/>
  <c r="P105" i="4"/>
  <c r="O105" i="4"/>
  <c r="N105" i="4"/>
  <c r="K105" i="4"/>
  <c r="T104" i="4"/>
  <c r="Q104" i="4"/>
  <c r="P104" i="4"/>
  <c r="O104" i="4"/>
  <c r="N104" i="4"/>
  <c r="K104" i="4"/>
  <c r="T103" i="4"/>
  <c r="Q103" i="4"/>
  <c r="P103" i="4"/>
  <c r="O103" i="4"/>
  <c r="N103" i="4"/>
  <c r="K103" i="4"/>
  <c r="T102" i="4"/>
  <c r="Q102" i="4"/>
  <c r="P102" i="4"/>
  <c r="O102" i="4"/>
  <c r="N102" i="4"/>
  <c r="K102" i="4"/>
  <c r="T101" i="4"/>
  <c r="Q101" i="4"/>
  <c r="P101" i="4"/>
  <c r="O101" i="4"/>
  <c r="N101" i="4"/>
  <c r="K101" i="4"/>
  <c r="T100" i="4"/>
  <c r="Q100" i="4"/>
  <c r="P100" i="4"/>
  <c r="O100" i="4"/>
  <c r="N100" i="4"/>
  <c r="K100" i="4"/>
  <c r="T99" i="4"/>
  <c r="Q99" i="4"/>
  <c r="P99" i="4"/>
  <c r="O99" i="4"/>
  <c r="N99" i="4"/>
  <c r="K99" i="4"/>
  <c r="T98" i="4"/>
  <c r="Q98" i="4"/>
  <c r="P98" i="4"/>
  <c r="O98" i="4"/>
  <c r="N98" i="4"/>
  <c r="K98" i="4"/>
  <c r="T97" i="4"/>
  <c r="Q97" i="4"/>
  <c r="P97" i="4"/>
  <c r="O97" i="4"/>
  <c r="N97" i="4"/>
  <c r="K97" i="4"/>
  <c r="T96" i="4"/>
  <c r="Q96" i="4"/>
  <c r="P96" i="4"/>
  <c r="O96" i="4"/>
  <c r="N96" i="4"/>
  <c r="K96" i="4"/>
  <c r="T95" i="4"/>
  <c r="Q95" i="4"/>
  <c r="P95" i="4"/>
  <c r="O95" i="4"/>
  <c r="N95" i="4"/>
  <c r="K95" i="4"/>
  <c r="T94" i="4"/>
  <c r="Q94" i="4"/>
  <c r="P94" i="4"/>
  <c r="O94" i="4"/>
  <c r="N94" i="4"/>
  <c r="K94" i="4"/>
  <c r="T93" i="4"/>
  <c r="Q93" i="4"/>
  <c r="P93" i="4"/>
  <c r="O93" i="4"/>
  <c r="N93" i="4"/>
  <c r="K93" i="4"/>
  <c r="T92" i="4"/>
  <c r="Q92" i="4"/>
  <c r="P92" i="4"/>
  <c r="O92" i="4"/>
  <c r="N92" i="4"/>
  <c r="K92" i="4"/>
  <c r="T91" i="4"/>
  <c r="Q91" i="4"/>
  <c r="P91" i="4"/>
  <c r="O91" i="4"/>
  <c r="N91" i="4"/>
  <c r="K91" i="4"/>
  <c r="T90" i="4"/>
  <c r="Q90" i="4"/>
  <c r="P90" i="4"/>
  <c r="O90" i="4"/>
  <c r="N90" i="4"/>
  <c r="K90" i="4"/>
  <c r="T89" i="4"/>
  <c r="Q89" i="4"/>
  <c r="P89" i="4"/>
  <c r="O89" i="4"/>
  <c r="N89" i="4"/>
  <c r="K89" i="4"/>
  <c r="T88" i="4"/>
  <c r="Q88" i="4"/>
  <c r="P88" i="4"/>
  <c r="O88" i="4"/>
  <c r="N88" i="4"/>
  <c r="K88" i="4"/>
  <c r="T87" i="4"/>
  <c r="Q87" i="4"/>
  <c r="P87" i="4"/>
  <c r="O87" i="4"/>
  <c r="N87" i="4"/>
  <c r="K87" i="4"/>
  <c r="T86" i="4"/>
  <c r="Q86" i="4"/>
  <c r="P86" i="4"/>
  <c r="O86" i="4"/>
  <c r="N86" i="4"/>
  <c r="K86" i="4"/>
  <c r="T85" i="4"/>
  <c r="Q85" i="4"/>
  <c r="P85" i="4"/>
  <c r="O85" i="4"/>
  <c r="N85" i="4"/>
  <c r="K85" i="4"/>
  <c r="T84" i="4"/>
  <c r="Q84" i="4"/>
  <c r="P84" i="4"/>
  <c r="O84" i="4"/>
  <c r="N84" i="4"/>
  <c r="K84" i="4"/>
  <c r="T83" i="4"/>
  <c r="Q83" i="4"/>
  <c r="P83" i="4"/>
  <c r="O83" i="4"/>
  <c r="N83" i="4"/>
  <c r="K83" i="4"/>
  <c r="T82" i="4"/>
  <c r="Q82" i="4"/>
  <c r="P82" i="4"/>
  <c r="O82" i="4"/>
  <c r="N82" i="4"/>
  <c r="K82" i="4"/>
  <c r="T81" i="4"/>
  <c r="Q81" i="4"/>
  <c r="P81" i="4"/>
  <c r="O81" i="4"/>
  <c r="N81" i="4"/>
  <c r="K81" i="4"/>
  <c r="T80" i="4"/>
  <c r="Q80" i="4"/>
  <c r="P80" i="4"/>
  <c r="O80" i="4"/>
  <c r="N80" i="4"/>
  <c r="K80" i="4"/>
  <c r="T79" i="4"/>
  <c r="Q79" i="4"/>
  <c r="P79" i="4"/>
  <c r="O79" i="4"/>
  <c r="N79" i="4"/>
  <c r="K79" i="4"/>
  <c r="T78" i="4"/>
  <c r="Q78" i="4"/>
  <c r="P78" i="4"/>
  <c r="O78" i="4"/>
  <c r="N78" i="4"/>
  <c r="K78" i="4"/>
  <c r="T77" i="4"/>
  <c r="Q77" i="4"/>
  <c r="P77" i="4"/>
  <c r="O77" i="4"/>
  <c r="N77" i="4"/>
  <c r="K77" i="4"/>
  <c r="T76" i="4"/>
  <c r="Q76" i="4"/>
  <c r="P76" i="4"/>
  <c r="O76" i="4"/>
  <c r="N76" i="4"/>
  <c r="K76" i="4"/>
  <c r="T75" i="4"/>
  <c r="Q75" i="4"/>
  <c r="P75" i="4"/>
  <c r="O75" i="4"/>
  <c r="N75" i="4"/>
  <c r="K75" i="4"/>
  <c r="T74" i="4"/>
  <c r="Q74" i="4"/>
  <c r="P74" i="4"/>
  <c r="O74" i="4"/>
  <c r="N74" i="4"/>
  <c r="K74" i="4"/>
  <c r="T73" i="4"/>
  <c r="Q73" i="4"/>
  <c r="P73" i="4"/>
  <c r="O73" i="4"/>
  <c r="N73" i="4"/>
  <c r="K73" i="4"/>
  <c r="T72" i="4"/>
  <c r="Q72" i="4"/>
  <c r="P72" i="4"/>
  <c r="O72" i="4"/>
  <c r="N72" i="4"/>
  <c r="K72" i="4"/>
  <c r="T71" i="4"/>
  <c r="Q71" i="4"/>
  <c r="P71" i="4"/>
  <c r="O71" i="4"/>
  <c r="N71" i="4"/>
  <c r="K71" i="4"/>
  <c r="T70" i="4"/>
  <c r="Q70" i="4"/>
  <c r="P70" i="4"/>
  <c r="O70" i="4"/>
  <c r="N70" i="4"/>
  <c r="K70" i="4"/>
  <c r="T69" i="4"/>
  <c r="Q69" i="4"/>
  <c r="P69" i="4"/>
  <c r="O69" i="4"/>
  <c r="N69" i="4"/>
  <c r="K69" i="4"/>
  <c r="T68" i="4"/>
  <c r="Q68" i="4"/>
  <c r="P68" i="4"/>
  <c r="O68" i="4"/>
  <c r="N68" i="4"/>
  <c r="K68" i="4"/>
  <c r="T67" i="4"/>
  <c r="Q67" i="4"/>
  <c r="P67" i="4"/>
  <c r="O67" i="4"/>
  <c r="N67" i="4"/>
  <c r="K67" i="4"/>
  <c r="T66" i="4"/>
  <c r="Q66" i="4"/>
  <c r="P66" i="4"/>
  <c r="O66" i="4"/>
  <c r="N66" i="4"/>
  <c r="K66" i="4"/>
  <c r="T65" i="4"/>
  <c r="Q65" i="4"/>
  <c r="P65" i="4"/>
  <c r="O65" i="4"/>
  <c r="N65" i="4"/>
  <c r="K65" i="4"/>
  <c r="T64" i="4"/>
  <c r="Q64" i="4"/>
  <c r="P64" i="4"/>
  <c r="O64" i="4"/>
  <c r="N64" i="4"/>
  <c r="K64" i="4"/>
  <c r="T63" i="4"/>
  <c r="Q63" i="4"/>
  <c r="P63" i="4"/>
  <c r="O63" i="4"/>
  <c r="N63" i="4"/>
  <c r="K63" i="4"/>
  <c r="T62" i="4"/>
  <c r="Q62" i="4"/>
  <c r="P62" i="4"/>
  <c r="O62" i="4"/>
  <c r="N62" i="4"/>
  <c r="K62" i="4"/>
  <c r="T61" i="4"/>
  <c r="Q61" i="4"/>
  <c r="P61" i="4"/>
  <c r="O61" i="4"/>
  <c r="N61" i="4"/>
  <c r="K61" i="4"/>
  <c r="T60" i="4"/>
  <c r="Q60" i="4"/>
  <c r="P60" i="4"/>
  <c r="O60" i="4"/>
  <c r="N60" i="4"/>
  <c r="K60" i="4"/>
  <c r="T59" i="4"/>
  <c r="Q59" i="4"/>
  <c r="P59" i="4"/>
  <c r="O59" i="4"/>
  <c r="N59" i="4"/>
  <c r="K59" i="4"/>
  <c r="T58" i="4"/>
  <c r="Q58" i="4"/>
  <c r="P58" i="4"/>
  <c r="O58" i="4"/>
  <c r="N58" i="4"/>
  <c r="K58" i="4"/>
  <c r="T57" i="4"/>
  <c r="Q57" i="4"/>
  <c r="P57" i="4"/>
  <c r="O57" i="4"/>
  <c r="N57" i="4"/>
  <c r="K57" i="4"/>
  <c r="T56" i="4"/>
  <c r="Q56" i="4"/>
  <c r="P56" i="4"/>
  <c r="O56" i="4"/>
  <c r="N56" i="4"/>
  <c r="K56" i="4"/>
  <c r="T55" i="4"/>
  <c r="Q55" i="4"/>
  <c r="P55" i="4"/>
  <c r="O55" i="4"/>
  <c r="N55" i="4"/>
  <c r="K55" i="4"/>
  <c r="T54" i="4"/>
  <c r="Q54" i="4"/>
  <c r="P54" i="4"/>
  <c r="O54" i="4"/>
  <c r="N54" i="4"/>
  <c r="K54" i="4"/>
  <c r="T53" i="4"/>
  <c r="Q53" i="4"/>
  <c r="P53" i="4"/>
  <c r="O53" i="4"/>
  <c r="N53" i="4"/>
  <c r="K53" i="4"/>
  <c r="T52" i="4"/>
  <c r="Q52" i="4"/>
  <c r="P52" i="4"/>
  <c r="O52" i="4"/>
  <c r="N52" i="4"/>
  <c r="K52" i="4"/>
  <c r="T51" i="4"/>
  <c r="Q51" i="4"/>
  <c r="P51" i="4"/>
  <c r="O51" i="4"/>
  <c r="N51" i="4"/>
  <c r="K51" i="4"/>
  <c r="T50" i="4"/>
  <c r="Q50" i="4"/>
  <c r="P50" i="4"/>
  <c r="O50" i="4"/>
  <c r="N50" i="4"/>
  <c r="K50" i="4"/>
  <c r="T49" i="4"/>
  <c r="Q49" i="4"/>
  <c r="P49" i="4"/>
  <c r="O49" i="4"/>
  <c r="N49" i="4"/>
  <c r="K49" i="4"/>
  <c r="T48" i="4"/>
  <c r="Q48" i="4"/>
  <c r="P48" i="4"/>
  <c r="O48" i="4"/>
  <c r="N48" i="4"/>
  <c r="K48" i="4"/>
  <c r="T47" i="4"/>
  <c r="Q47" i="4"/>
  <c r="P47" i="4"/>
  <c r="O47" i="4"/>
  <c r="N47" i="4"/>
  <c r="K47" i="4"/>
  <c r="T46" i="4"/>
  <c r="Q46" i="4"/>
  <c r="P46" i="4"/>
  <c r="O46" i="4"/>
  <c r="N46" i="4"/>
  <c r="K46" i="4"/>
  <c r="T45" i="4"/>
  <c r="Q45" i="4"/>
  <c r="P45" i="4"/>
  <c r="O45" i="4"/>
  <c r="N45" i="4"/>
  <c r="K45" i="4"/>
  <c r="T44" i="4"/>
  <c r="Q44" i="4"/>
  <c r="P44" i="4"/>
  <c r="O44" i="4"/>
  <c r="N44" i="4"/>
  <c r="K44" i="4"/>
  <c r="T43" i="4"/>
  <c r="Q43" i="4"/>
  <c r="P43" i="4"/>
  <c r="O43" i="4"/>
  <c r="N43" i="4"/>
  <c r="K43" i="4"/>
  <c r="T42" i="4"/>
  <c r="Q42" i="4"/>
  <c r="P42" i="4"/>
  <c r="O42" i="4"/>
  <c r="N42" i="4"/>
  <c r="K42" i="4"/>
  <c r="T41" i="4"/>
  <c r="Q41" i="4"/>
  <c r="P41" i="4"/>
  <c r="O41" i="4"/>
  <c r="N41" i="4"/>
  <c r="K41" i="4"/>
  <c r="T40" i="4"/>
  <c r="Q40" i="4"/>
  <c r="P40" i="4"/>
  <c r="O40" i="4"/>
  <c r="N40" i="4"/>
  <c r="K40" i="4"/>
  <c r="T39" i="4"/>
  <c r="Q39" i="4"/>
  <c r="P39" i="4"/>
  <c r="O39" i="4"/>
  <c r="N39" i="4"/>
  <c r="K39" i="4"/>
  <c r="T38" i="4"/>
  <c r="Q38" i="4"/>
  <c r="P38" i="4"/>
  <c r="O38" i="4"/>
  <c r="N38" i="4"/>
  <c r="K38" i="4"/>
  <c r="T37" i="4"/>
  <c r="Q37" i="4"/>
  <c r="P37" i="4"/>
  <c r="O37" i="4"/>
  <c r="N37" i="4"/>
  <c r="K37" i="4"/>
  <c r="T36" i="4"/>
  <c r="Q36" i="4"/>
  <c r="P36" i="4"/>
  <c r="O36" i="4"/>
  <c r="N36" i="4"/>
  <c r="K36" i="4"/>
  <c r="T35" i="4"/>
  <c r="Q35" i="4"/>
  <c r="P35" i="4"/>
  <c r="O35" i="4"/>
  <c r="N35" i="4"/>
  <c r="K35" i="4"/>
  <c r="T34" i="4"/>
  <c r="Q34" i="4"/>
  <c r="P34" i="4"/>
  <c r="O34" i="4"/>
  <c r="N34" i="4"/>
  <c r="K34" i="4"/>
  <c r="T33" i="4"/>
  <c r="Q33" i="4"/>
  <c r="P33" i="4"/>
  <c r="O33" i="4"/>
  <c r="N33" i="4"/>
  <c r="K33" i="4"/>
  <c r="T32" i="4"/>
  <c r="Q32" i="4"/>
  <c r="P32" i="4"/>
  <c r="O32" i="4"/>
  <c r="N32" i="4"/>
  <c r="K32" i="4"/>
  <c r="T31" i="4"/>
  <c r="Q31" i="4"/>
  <c r="P31" i="4"/>
  <c r="O31" i="4"/>
  <c r="N31" i="4"/>
  <c r="K31" i="4"/>
  <c r="J30" i="4"/>
  <c r="G30" i="4"/>
  <c r="I30" i="4" s="1"/>
  <c r="F30" i="4"/>
  <c r="F123" i="4" s="1"/>
  <c r="T25" i="4"/>
  <c r="Q25" i="4"/>
  <c r="P25" i="4"/>
  <c r="O25" i="4"/>
  <c r="N25" i="4"/>
  <c r="K25" i="4"/>
  <c r="T24" i="4"/>
  <c r="Q24" i="4"/>
  <c r="P24" i="4"/>
  <c r="O24" i="4"/>
  <c r="N24" i="4"/>
  <c r="K24" i="4"/>
  <c r="J23" i="4"/>
  <c r="G23" i="4"/>
  <c r="G24" i="4" s="1"/>
  <c r="F23" i="4"/>
  <c r="F24" i="4" s="1"/>
  <c r="T18" i="4"/>
  <c r="T20" i="4" s="1"/>
  <c r="T402" i="4" s="1"/>
  <c r="Q18" i="4"/>
  <c r="P18" i="4"/>
  <c r="O18" i="4"/>
  <c r="N18" i="4"/>
  <c r="K18" i="4"/>
  <c r="J17" i="4"/>
  <c r="G17" i="4"/>
  <c r="F17" i="4"/>
  <c r="I12" i="4"/>
  <c r="I11" i="4"/>
  <c r="I10" i="4"/>
  <c r="C6" i="4"/>
  <c r="J10" i="4" s="1"/>
  <c r="C5" i="4"/>
  <c r="C4" i="4"/>
  <c r="C3" i="4"/>
  <c r="C2" i="4"/>
  <c r="C9" i="4" s="1"/>
  <c r="T393" i="4" l="1"/>
  <c r="I396" i="4"/>
  <c r="I399" i="4" s="1"/>
  <c r="T399" i="4"/>
  <c r="F31" i="4"/>
  <c r="F32" i="4" s="1"/>
  <c r="F33" i="4" s="1"/>
  <c r="F34" i="4" s="1"/>
  <c r="F35" i="4" s="1"/>
  <c r="F36" i="4" s="1"/>
  <c r="F37" i="4" s="1"/>
  <c r="F38" i="4" s="1"/>
  <c r="F39" i="4" s="1"/>
  <c r="F40" i="4" s="1"/>
  <c r="F41" i="4" s="1"/>
  <c r="F42" i="4" s="1"/>
  <c r="F43" i="4" s="1"/>
  <c r="F44" i="4" s="1"/>
  <c r="F45" i="4" s="1"/>
  <c r="F46" i="4" s="1"/>
  <c r="F47" i="4" s="1"/>
  <c r="F48" i="4" s="1"/>
  <c r="F49" i="4" s="1"/>
  <c r="F50" i="4" s="1"/>
  <c r="F51" i="4" s="1"/>
  <c r="F52" i="4" s="1"/>
  <c r="F53" i="4" s="1"/>
  <c r="F54" i="4" s="1"/>
  <c r="F55" i="4" s="1"/>
  <c r="F56" i="4" s="1"/>
  <c r="F57" i="4" s="1"/>
  <c r="F58" i="4" s="1"/>
  <c r="F59" i="4" s="1"/>
  <c r="F60" i="4" s="1"/>
  <c r="F61" i="4" s="1"/>
  <c r="F62" i="4" s="1"/>
  <c r="F63" i="4" s="1"/>
  <c r="F64" i="4" s="1"/>
  <c r="F65" i="4" s="1"/>
  <c r="F66" i="4" s="1"/>
  <c r="F67" i="4" s="1"/>
  <c r="F68" i="4" s="1"/>
  <c r="F69" i="4" s="1"/>
  <c r="F70" i="4" s="1"/>
  <c r="F71" i="4" s="1"/>
  <c r="F72" i="4" s="1"/>
  <c r="F73" i="4" s="1"/>
  <c r="F74" i="4" s="1"/>
  <c r="F75" i="4" s="1"/>
  <c r="F76" i="4" s="1"/>
  <c r="F77" i="4" s="1"/>
  <c r="F78" i="4" s="1"/>
  <c r="F79" i="4" s="1"/>
  <c r="F80" i="4" s="1"/>
  <c r="F81" i="4" s="1"/>
  <c r="F82" i="4" s="1"/>
  <c r="F83" i="4" s="1"/>
  <c r="F84" i="4" s="1"/>
  <c r="F85" i="4" s="1"/>
  <c r="F86" i="4" s="1"/>
  <c r="F87" i="4" s="1"/>
  <c r="F88" i="4" s="1"/>
  <c r="F89" i="4" s="1"/>
  <c r="F90" i="4" s="1"/>
  <c r="F91" i="4" s="1"/>
  <c r="F92" i="4" s="1"/>
  <c r="F93" i="4" s="1"/>
  <c r="F94" i="4" s="1"/>
  <c r="F95" i="4" s="1"/>
  <c r="F96" i="4" s="1"/>
  <c r="F97" i="4" s="1"/>
  <c r="F98" i="4" s="1"/>
  <c r="F99" i="4" s="1"/>
  <c r="F100" i="4" s="1"/>
  <c r="F101" i="4" s="1"/>
  <c r="F102" i="4" s="1"/>
  <c r="F103" i="4" s="1"/>
  <c r="F104" i="4" s="1"/>
  <c r="F105" i="4" s="1"/>
  <c r="F106" i="4" s="1"/>
  <c r="F107" i="4" s="1"/>
  <c r="F108" i="4" s="1"/>
  <c r="F109" i="4" s="1"/>
  <c r="F110" i="4" s="1"/>
  <c r="F111" i="4" s="1"/>
  <c r="F112" i="4" s="1"/>
  <c r="F113" i="4" s="1"/>
  <c r="F114" i="4" s="1"/>
  <c r="F115" i="4" s="1"/>
  <c r="F116" i="4" s="1"/>
  <c r="F117" i="4" s="1"/>
  <c r="F118" i="4" s="1"/>
  <c r="F119" i="4" s="1"/>
  <c r="F120" i="4" s="1"/>
  <c r="F121" i="4" s="1"/>
  <c r="F122" i="4" s="1"/>
  <c r="I262" i="4"/>
  <c r="G261" i="4"/>
  <c r="I8" i="4"/>
  <c r="F25" i="4"/>
  <c r="F26" i="4"/>
  <c r="I124" i="4"/>
  <c r="I23" i="4"/>
  <c r="I27" i="4" s="1"/>
  <c r="I265" i="4"/>
  <c r="I302" i="4" s="1"/>
  <c r="T124" i="4"/>
  <c r="F306" i="4"/>
  <c r="F307" i="4" s="1"/>
  <c r="F308" i="4" s="1"/>
  <c r="F309" i="4" s="1"/>
  <c r="F310" i="4" s="1"/>
  <c r="F311" i="4" s="1"/>
  <c r="F312" i="4" s="1"/>
  <c r="F313" i="4" s="1"/>
  <c r="F314" i="4" s="1"/>
  <c r="F315" i="4" s="1"/>
  <c r="F316" i="4" s="1"/>
  <c r="F317" i="4" s="1"/>
  <c r="F318" i="4" s="1"/>
  <c r="F319" i="4" s="1"/>
  <c r="F320" i="4" s="1"/>
  <c r="F321" i="4" s="1"/>
  <c r="F322" i="4" s="1"/>
  <c r="F323" i="4" s="1"/>
  <c r="F324" i="4" s="1"/>
  <c r="F325" i="4" s="1"/>
  <c r="F326" i="4" s="1"/>
  <c r="F327" i="4" s="1"/>
  <c r="F328" i="4" s="1"/>
  <c r="F329" i="4" s="1"/>
  <c r="F330" i="4" s="1"/>
  <c r="F331" i="4" s="1"/>
  <c r="F332" i="4" s="1"/>
  <c r="F333" i="4" s="1"/>
  <c r="F334" i="4" s="1"/>
  <c r="F335" i="4" s="1"/>
  <c r="F336" i="4" s="1"/>
  <c r="F337" i="4" s="1"/>
  <c r="F338" i="4" s="1"/>
  <c r="F339" i="4" s="1"/>
  <c r="F340" i="4" s="1"/>
  <c r="F341" i="4" s="1"/>
  <c r="F342" i="4" s="1"/>
  <c r="F343" i="4" s="1"/>
  <c r="F344" i="4" s="1"/>
  <c r="F345" i="4" s="1"/>
  <c r="F346" i="4" s="1"/>
  <c r="F347" i="4" s="1"/>
  <c r="F348" i="4" s="1"/>
  <c r="F349" i="4" s="1"/>
  <c r="F350" i="4" s="1"/>
  <c r="F351" i="4" s="1"/>
  <c r="F352" i="4" s="1"/>
  <c r="F353" i="4" s="1"/>
  <c r="F354" i="4" s="1"/>
  <c r="F355" i="4" s="1"/>
  <c r="F356" i="4" s="1"/>
  <c r="F357" i="4" s="1"/>
  <c r="F358" i="4" s="1"/>
  <c r="F359" i="4" s="1"/>
  <c r="F360" i="4" s="1"/>
  <c r="F361" i="4" s="1"/>
  <c r="F362" i="4" s="1"/>
  <c r="F363" i="4" s="1"/>
  <c r="F364" i="4" s="1"/>
  <c r="F365" i="4" s="1"/>
  <c r="F366" i="4" s="1"/>
  <c r="F367" i="4" s="1"/>
  <c r="F368" i="4" s="1"/>
  <c r="F369" i="4" s="1"/>
  <c r="F370" i="4" s="1"/>
  <c r="F371" i="4" s="1"/>
  <c r="F372" i="4" s="1"/>
  <c r="F373" i="4" s="1"/>
  <c r="F374" i="4" s="1"/>
  <c r="F375" i="4" s="1"/>
  <c r="F376" i="4" s="1"/>
  <c r="F377" i="4" s="1"/>
  <c r="F378" i="4" s="1"/>
  <c r="F379" i="4" s="1"/>
  <c r="F380" i="4" s="1"/>
  <c r="F381" i="4" s="1"/>
  <c r="F382" i="4" s="1"/>
  <c r="F383" i="4" s="1"/>
  <c r="F384" i="4" s="1"/>
  <c r="F385" i="4" s="1"/>
  <c r="T27" i="4"/>
  <c r="F266" i="4"/>
  <c r="F267" i="4" s="1"/>
  <c r="F268" i="4" s="1"/>
  <c r="F269" i="4" s="1"/>
  <c r="F270" i="4" s="1"/>
  <c r="F271" i="4" s="1"/>
  <c r="F272" i="4" s="1"/>
  <c r="F273" i="4" s="1"/>
  <c r="F274" i="4" s="1"/>
  <c r="F275" i="4" s="1"/>
  <c r="F276" i="4" s="1"/>
  <c r="F277" i="4" s="1"/>
  <c r="F278" i="4" s="1"/>
  <c r="F279" i="4" s="1"/>
  <c r="F280" i="4" s="1"/>
  <c r="F281" i="4" s="1"/>
  <c r="F282" i="4" s="1"/>
  <c r="F283" i="4" s="1"/>
  <c r="F284" i="4" s="1"/>
  <c r="F285" i="4" s="1"/>
  <c r="F286" i="4" s="1"/>
  <c r="F287" i="4" s="1"/>
  <c r="F288" i="4" s="1"/>
  <c r="F289" i="4" s="1"/>
  <c r="F290" i="4" s="1"/>
  <c r="F291" i="4" s="1"/>
  <c r="F292" i="4" s="1"/>
  <c r="F293" i="4" s="1"/>
  <c r="F294" i="4" s="1"/>
  <c r="F295" i="4" s="1"/>
  <c r="F296" i="4" s="1"/>
  <c r="F297" i="4" s="1"/>
  <c r="F298" i="4" s="1"/>
  <c r="F299" i="4" s="1"/>
  <c r="F300" i="4" s="1"/>
  <c r="G18" i="4"/>
  <c r="G19" i="4"/>
  <c r="G25" i="4"/>
  <c r="G26" i="4"/>
  <c r="G301" i="4"/>
  <c r="G266" i="4"/>
  <c r="G267" i="4" s="1"/>
  <c r="G268" i="4" s="1"/>
  <c r="G269" i="4" s="1"/>
  <c r="G270" i="4" s="1"/>
  <c r="G271" i="4" s="1"/>
  <c r="G272" i="4" s="1"/>
  <c r="G273" i="4" s="1"/>
  <c r="G274" i="4" s="1"/>
  <c r="G275" i="4" s="1"/>
  <c r="G276" i="4" s="1"/>
  <c r="G277" i="4" s="1"/>
  <c r="G278" i="4" s="1"/>
  <c r="G279" i="4" s="1"/>
  <c r="G280" i="4" s="1"/>
  <c r="G281" i="4" s="1"/>
  <c r="G282" i="4" s="1"/>
  <c r="G283" i="4" s="1"/>
  <c r="G284" i="4" s="1"/>
  <c r="G285" i="4" s="1"/>
  <c r="G286" i="4" s="1"/>
  <c r="G287" i="4" s="1"/>
  <c r="G288" i="4" s="1"/>
  <c r="G289" i="4" s="1"/>
  <c r="G290" i="4" s="1"/>
  <c r="G291" i="4" s="1"/>
  <c r="G292" i="4" s="1"/>
  <c r="G293" i="4" s="1"/>
  <c r="G294" i="4" s="1"/>
  <c r="G295" i="4" s="1"/>
  <c r="G296" i="4" s="1"/>
  <c r="G297" i="4" s="1"/>
  <c r="G298" i="4" s="1"/>
  <c r="G299" i="4" s="1"/>
  <c r="G300" i="4" s="1"/>
  <c r="I17" i="4"/>
  <c r="I20" i="4" s="1"/>
  <c r="F19" i="4"/>
  <c r="F18" i="4"/>
  <c r="T262" i="4"/>
  <c r="F128" i="4"/>
  <c r="F129" i="4" s="1"/>
  <c r="F130" i="4" s="1"/>
  <c r="F131" i="4" s="1"/>
  <c r="F132" i="4" s="1"/>
  <c r="F133" i="4" s="1"/>
  <c r="F134" i="4" s="1"/>
  <c r="F135" i="4" s="1"/>
  <c r="F136" i="4" s="1"/>
  <c r="F137" i="4" s="1"/>
  <c r="F138" i="4" s="1"/>
  <c r="F139" i="4" s="1"/>
  <c r="F140" i="4" s="1"/>
  <c r="F141" i="4" s="1"/>
  <c r="F142" i="4" s="1"/>
  <c r="F143" i="4" s="1"/>
  <c r="F144" i="4" s="1"/>
  <c r="F145" i="4" s="1"/>
  <c r="F146" i="4" s="1"/>
  <c r="F147" i="4" s="1"/>
  <c r="F148" i="4" s="1"/>
  <c r="F149" i="4" s="1"/>
  <c r="F150" i="4" s="1"/>
  <c r="F151" i="4" s="1"/>
  <c r="F152" i="4" s="1"/>
  <c r="F153" i="4" s="1"/>
  <c r="F154" i="4" s="1"/>
  <c r="F155" i="4" s="1"/>
  <c r="F156" i="4" s="1"/>
  <c r="F157" i="4" s="1"/>
  <c r="F158" i="4" s="1"/>
  <c r="F159" i="4" s="1"/>
  <c r="F160" i="4" s="1"/>
  <c r="F161" i="4" s="1"/>
  <c r="F162" i="4" s="1"/>
  <c r="F163" i="4" s="1"/>
  <c r="F164" i="4" s="1"/>
  <c r="F165" i="4" s="1"/>
  <c r="F166" i="4" s="1"/>
  <c r="F167" i="4" s="1"/>
  <c r="F168" i="4" s="1"/>
  <c r="F169" i="4" s="1"/>
  <c r="F170" i="4" s="1"/>
  <c r="F171" i="4" s="1"/>
  <c r="F172" i="4" s="1"/>
  <c r="F173" i="4" s="1"/>
  <c r="F174" i="4" s="1"/>
  <c r="F175" i="4" s="1"/>
  <c r="F176" i="4" s="1"/>
  <c r="F177" i="4" s="1"/>
  <c r="F178" i="4" s="1"/>
  <c r="F179" i="4" s="1"/>
  <c r="F180" i="4" s="1"/>
  <c r="F181" i="4" s="1"/>
  <c r="F182" i="4" s="1"/>
  <c r="F183" i="4" s="1"/>
  <c r="F184" i="4" s="1"/>
  <c r="F185" i="4" s="1"/>
  <c r="F186" i="4" s="1"/>
  <c r="F187" i="4" s="1"/>
  <c r="F188" i="4" s="1"/>
  <c r="F189" i="4" s="1"/>
  <c r="F190" i="4" s="1"/>
  <c r="F191" i="4" s="1"/>
  <c r="F192" i="4" s="1"/>
  <c r="F193" i="4" s="1"/>
  <c r="F194" i="4" s="1"/>
  <c r="F195" i="4" s="1"/>
  <c r="F196" i="4" s="1"/>
  <c r="F197" i="4" s="1"/>
  <c r="F198" i="4" s="1"/>
  <c r="F199" i="4" s="1"/>
  <c r="F200" i="4" s="1"/>
  <c r="F201" i="4" s="1"/>
  <c r="F202" i="4" s="1"/>
  <c r="F203" i="4" s="1"/>
  <c r="F204" i="4" s="1"/>
  <c r="F205" i="4" s="1"/>
  <c r="F206" i="4" s="1"/>
  <c r="F207" i="4" s="1"/>
  <c r="F208" i="4" s="1"/>
  <c r="F209" i="4" s="1"/>
  <c r="F210" i="4" s="1"/>
  <c r="F211" i="4" s="1"/>
  <c r="F212" i="4" s="1"/>
  <c r="F213" i="4" s="1"/>
  <c r="F214" i="4" s="1"/>
  <c r="F215" i="4" s="1"/>
  <c r="F216" i="4" s="1"/>
  <c r="F217" i="4" s="1"/>
  <c r="F218" i="4" s="1"/>
  <c r="F219" i="4" s="1"/>
  <c r="F220" i="4" s="1"/>
  <c r="F221" i="4" s="1"/>
  <c r="F222" i="4" s="1"/>
  <c r="F223" i="4" s="1"/>
  <c r="F224" i="4" s="1"/>
  <c r="F225" i="4" s="1"/>
  <c r="F226" i="4" s="1"/>
  <c r="F227" i="4" s="1"/>
  <c r="F228" i="4" s="1"/>
  <c r="F229" i="4" s="1"/>
  <c r="F230" i="4" s="1"/>
  <c r="F231" i="4" s="1"/>
  <c r="F232" i="4" s="1"/>
  <c r="F233" i="4" s="1"/>
  <c r="F234" i="4" s="1"/>
  <c r="F235" i="4" s="1"/>
  <c r="F236" i="4" s="1"/>
  <c r="F237" i="4" s="1"/>
  <c r="F238" i="4" s="1"/>
  <c r="F239" i="4" s="1"/>
  <c r="F240" i="4" s="1"/>
  <c r="F241" i="4" s="1"/>
  <c r="F242" i="4" s="1"/>
  <c r="F243" i="4" s="1"/>
  <c r="F244" i="4" s="1"/>
  <c r="F245" i="4" s="1"/>
  <c r="F246" i="4" s="1"/>
  <c r="F247" i="4" s="1"/>
  <c r="F248" i="4" s="1"/>
  <c r="F249" i="4" s="1"/>
  <c r="F250" i="4" s="1"/>
  <c r="F251" i="4" s="1"/>
  <c r="F252" i="4" s="1"/>
  <c r="F253" i="4" s="1"/>
  <c r="F254" i="4" s="1"/>
  <c r="F255" i="4" s="1"/>
  <c r="F256" i="4" s="1"/>
  <c r="F257" i="4" s="1"/>
  <c r="F258" i="4" s="1"/>
  <c r="F259" i="4" s="1"/>
  <c r="F260" i="4" s="1"/>
  <c r="F261" i="4"/>
  <c r="I305" i="4"/>
  <c r="I387" i="4" s="1"/>
  <c r="T302" i="4"/>
  <c r="T387" i="4"/>
  <c r="F398" i="4"/>
  <c r="F397" i="4"/>
  <c r="I390" i="4"/>
  <c r="I393" i="4" s="1"/>
  <c r="F392" i="4"/>
  <c r="G397" i="4"/>
  <c r="G128" i="4" l="1"/>
  <c r="G129" i="4" s="1"/>
  <c r="G130" i="4" s="1"/>
  <c r="G131" i="4" s="1"/>
  <c r="G132" i="4" s="1"/>
  <c r="G133" i="4" s="1"/>
  <c r="G134" i="4" s="1"/>
  <c r="G135" i="4" s="1"/>
  <c r="G136" i="4" s="1"/>
  <c r="G137" i="4" s="1"/>
  <c r="G138" i="4" s="1"/>
  <c r="G139" i="4" s="1"/>
  <c r="G140" i="4" s="1"/>
  <c r="G141" i="4" s="1"/>
  <c r="G142" i="4" s="1"/>
  <c r="G143" i="4" s="1"/>
  <c r="G144" i="4" s="1"/>
  <c r="G145" i="4" s="1"/>
  <c r="G146" i="4" s="1"/>
  <c r="G147" i="4" s="1"/>
  <c r="G148" i="4" s="1"/>
  <c r="G149" i="4" s="1"/>
  <c r="G150" i="4" s="1"/>
  <c r="G151" i="4" s="1"/>
  <c r="G152" i="4" s="1"/>
  <c r="G153" i="4" s="1"/>
  <c r="G154" i="4" s="1"/>
  <c r="G155" i="4" s="1"/>
  <c r="G156" i="4" s="1"/>
  <c r="G157" i="4" s="1"/>
  <c r="G158" i="4" s="1"/>
  <c r="G159" i="4" s="1"/>
  <c r="G160" i="4" s="1"/>
  <c r="G161" i="4" s="1"/>
  <c r="G162" i="4" s="1"/>
  <c r="G163" i="4" s="1"/>
  <c r="G164" i="4" s="1"/>
  <c r="G165" i="4" s="1"/>
  <c r="G166" i="4" s="1"/>
  <c r="G167" i="4" s="1"/>
  <c r="G168" i="4" s="1"/>
  <c r="G169" i="4" s="1"/>
  <c r="G170" i="4" s="1"/>
  <c r="G171" i="4" s="1"/>
  <c r="G172" i="4" s="1"/>
  <c r="G173" i="4" s="1"/>
  <c r="G174" i="4" s="1"/>
  <c r="G175" i="4" s="1"/>
  <c r="G176" i="4" s="1"/>
  <c r="G177" i="4" s="1"/>
  <c r="G178" i="4" s="1"/>
  <c r="G179" i="4" s="1"/>
  <c r="G180" i="4" s="1"/>
  <c r="G181" i="4" s="1"/>
  <c r="G182" i="4" s="1"/>
  <c r="G183" i="4" s="1"/>
  <c r="G184" i="4" s="1"/>
  <c r="G185" i="4" s="1"/>
  <c r="G186" i="4" s="1"/>
  <c r="G187" i="4" s="1"/>
  <c r="G188" i="4" s="1"/>
  <c r="G189" i="4" s="1"/>
  <c r="G190" i="4" s="1"/>
  <c r="G191" i="4" s="1"/>
  <c r="G192" i="4" s="1"/>
  <c r="G193" i="4" s="1"/>
  <c r="G194" i="4" s="1"/>
  <c r="G195" i="4" s="1"/>
  <c r="G196" i="4" s="1"/>
  <c r="G197" i="4" s="1"/>
  <c r="G198" i="4" s="1"/>
  <c r="G199" i="4" s="1"/>
  <c r="G200" i="4" s="1"/>
  <c r="G201" i="4" s="1"/>
  <c r="G202" i="4" s="1"/>
  <c r="G203" i="4" s="1"/>
  <c r="G204" i="4" s="1"/>
  <c r="G205" i="4" s="1"/>
  <c r="G206" i="4" s="1"/>
  <c r="G207" i="4" s="1"/>
  <c r="G208" i="4" s="1"/>
  <c r="G209" i="4" s="1"/>
  <c r="G210" i="4" s="1"/>
  <c r="G211" i="4" s="1"/>
  <c r="G212" i="4" s="1"/>
  <c r="G213" i="4" s="1"/>
  <c r="G214" i="4" s="1"/>
  <c r="G215" i="4" s="1"/>
  <c r="G216" i="4" s="1"/>
  <c r="G217" i="4" s="1"/>
  <c r="G218" i="4" s="1"/>
  <c r="G219" i="4" s="1"/>
  <c r="G220" i="4" s="1"/>
  <c r="G221" i="4" s="1"/>
  <c r="G222" i="4" s="1"/>
  <c r="G223" i="4" s="1"/>
  <c r="G224" i="4" s="1"/>
  <c r="G225" i="4" s="1"/>
  <c r="G226" i="4" s="1"/>
  <c r="G227" i="4" s="1"/>
  <c r="G228" i="4" s="1"/>
  <c r="G229" i="4" s="1"/>
  <c r="G230" i="4" s="1"/>
  <c r="G231" i="4" s="1"/>
  <c r="G232" i="4" s="1"/>
  <c r="G233" i="4" s="1"/>
  <c r="G234" i="4" s="1"/>
  <c r="G235" i="4" s="1"/>
  <c r="G236" i="4" s="1"/>
  <c r="G237" i="4" s="1"/>
  <c r="G238" i="4" s="1"/>
  <c r="G239" i="4" s="1"/>
  <c r="G240" i="4" s="1"/>
  <c r="G241" i="4" s="1"/>
  <c r="G242" i="4" s="1"/>
  <c r="G243" i="4" s="1"/>
  <c r="G244" i="4" s="1"/>
  <c r="G245" i="4" s="1"/>
  <c r="G246" i="4" s="1"/>
  <c r="G247" i="4" s="1"/>
  <c r="G248" i="4" s="1"/>
  <c r="G249" i="4" s="1"/>
  <c r="G250" i="4" s="1"/>
  <c r="G251" i="4" s="1"/>
  <c r="G252" i="4" s="1"/>
  <c r="G253" i="4" s="1"/>
  <c r="G254" i="4" s="1"/>
  <c r="G255" i="4" s="1"/>
  <c r="G256" i="4" s="1"/>
  <c r="G257" i="4" s="1"/>
  <c r="G258" i="4" s="1"/>
  <c r="G259" i="4" s="1"/>
  <c r="G260" i="4" s="1"/>
  <c r="G123" i="4"/>
  <c r="G31" i="4"/>
  <c r="G32" i="4" s="1"/>
  <c r="G33" i="4" s="1"/>
  <c r="G34" i="4" s="1"/>
  <c r="G35" i="4" s="1"/>
  <c r="G36" i="4" s="1"/>
  <c r="G37" i="4" s="1"/>
  <c r="G38" i="4" s="1"/>
  <c r="G39" i="4" s="1"/>
  <c r="G40" i="4" s="1"/>
  <c r="G41" i="4" s="1"/>
  <c r="G42" i="4" s="1"/>
  <c r="G43" i="4" s="1"/>
  <c r="G44" i="4" s="1"/>
  <c r="G45" i="4" s="1"/>
  <c r="G46" i="4" s="1"/>
  <c r="G47" i="4" s="1"/>
  <c r="G48" i="4" s="1"/>
  <c r="G49" i="4" s="1"/>
  <c r="G50" i="4" s="1"/>
  <c r="G51" i="4" s="1"/>
  <c r="G52" i="4" s="1"/>
  <c r="G53" i="4" s="1"/>
  <c r="G54" i="4" s="1"/>
  <c r="G55" i="4" s="1"/>
  <c r="G56" i="4" s="1"/>
  <c r="G57" i="4" s="1"/>
  <c r="G58" i="4" s="1"/>
  <c r="G59" i="4" s="1"/>
  <c r="G60" i="4" s="1"/>
  <c r="G61" i="4" s="1"/>
  <c r="G62" i="4" s="1"/>
  <c r="G63" i="4" s="1"/>
  <c r="G64" i="4" s="1"/>
  <c r="G65" i="4" s="1"/>
  <c r="G66" i="4" s="1"/>
  <c r="G67" i="4" s="1"/>
  <c r="G68" i="4" s="1"/>
  <c r="G69" i="4" s="1"/>
  <c r="G70" i="4" s="1"/>
  <c r="G71" i="4" s="1"/>
  <c r="G72" i="4" s="1"/>
  <c r="G73" i="4" s="1"/>
  <c r="G74" i="4" s="1"/>
  <c r="G75" i="4" s="1"/>
  <c r="G76" i="4" s="1"/>
  <c r="G77" i="4" s="1"/>
  <c r="G78" i="4" s="1"/>
  <c r="G79" i="4" s="1"/>
  <c r="G80" i="4" s="1"/>
  <c r="G81" i="4" s="1"/>
  <c r="G82" i="4" s="1"/>
  <c r="G83" i="4" s="1"/>
  <c r="G84" i="4" s="1"/>
  <c r="G85" i="4" s="1"/>
  <c r="G86" i="4" s="1"/>
  <c r="G87" i="4" s="1"/>
  <c r="G88" i="4" s="1"/>
  <c r="G89" i="4" s="1"/>
  <c r="G90" i="4" s="1"/>
  <c r="G91" i="4" s="1"/>
  <c r="G92" i="4" s="1"/>
  <c r="G93" i="4" s="1"/>
  <c r="G94" i="4" s="1"/>
  <c r="G95" i="4" s="1"/>
  <c r="G96" i="4" s="1"/>
  <c r="G97" i="4" s="1"/>
  <c r="G98" i="4" s="1"/>
  <c r="G99" i="4" s="1"/>
  <c r="G100" i="4" s="1"/>
  <c r="G101" i="4" s="1"/>
  <c r="G102" i="4" s="1"/>
  <c r="G103" i="4" s="1"/>
  <c r="G104" i="4" s="1"/>
  <c r="G105" i="4" s="1"/>
  <c r="G106" i="4" s="1"/>
  <c r="G107" i="4" s="1"/>
  <c r="G108" i="4" s="1"/>
  <c r="G109" i="4" s="1"/>
  <c r="G110" i="4" s="1"/>
  <c r="G111" i="4" s="1"/>
  <c r="G112" i="4" s="1"/>
  <c r="G113" i="4" s="1"/>
  <c r="G114" i="4" s="1"/>
  <c r="G115" i="4" s="1"/>
  <c r="G116" i="4" s="1"/>
  <c r="G117" i="4" s="1"/>
  <c r="G118" i="4" s="1"/>
  <c r="G119" i="4" s="1"/>
  <c r="G120" i="4" s="1"/>
  <c r="G121" i="4" s="1"/>
  <c r="G122" i="4" s="1"/>
  <c r="G386" i="4"/>
  <c r="G306" i="4"/>
  <c r="G307" i="4" s="1"/>
  <c r="G308" i="4" s="1"/>
  <c r="G309" i="4" s="1"/>
  <c r="G310" i="4" s="1"/>
  <c r="G311" i="4" s="1"/>
  <c r="G312" i="4" s="1"/>
  <c r="G313" i="4" s="1"/>
  <c r="G314" i="4" s="1"/>
  <c r="G315" i="4" s="1"/>
  <c r="G316" i="4" s="1"/>
  <c r="G317" i="4" s="1"/>
  <c r="G318" i="4" s="1"/>
  <c r="G319" i="4" s="1"/>
  <c r="G320" i="4" s="1"/>
  <c r="G321" i="4" s="1"/>
  <c r="G322" i="4" s="1"/>
  <c r="G323" i="4" s="1"/>
  <c r="G324" i="4" s="1"/>
  <c r="G325" i="4" s="1"/>
  <c r="G326" i="4" s="1"/>
  <c r="G327" i="4" s="1"/>
  <c r="G328" i="4" s="1"/>
  <c r="G329" i="4" s="1"/>
  <c r="G330" i="4" s="1"/>
  <c r="G331" i="4" s="1"/>
  <c r="G332" i="4" s="1"/>
  <c r="G333" i="4" s="1"/>
  <c r="G334" i="4" s="1"/>
  <c r="G335" i="4" s="1"/>
  <c r="G336" i="4" s="1"/>
  <c r="G337" i="4" s="1"/>
  <c r="G338" i="4" s="1"/>
  <c r="G339" i="4" s="1"/>
  <c r="G340" i="4" s="1"/>
  <c r="G341" i="4" s="1"/>
  <c r="G342" i="4" s="1"/>
  <c r="G343" i="4" s="1"/>
  <c r="G344" i="4" s="1"/>
  <c r="G345" i="4" s="1"/>
  <c r="G346" i="4" s="1"/>
  <c r="G347" i="4" s="1"/>
  <c r="G348" i="4" s="1"/>
  <c r="G349" i="4" s="1"/>
  <c r="G350" i="4" s="1"/>
  <c r="G351" i="4" s="1"/>
  <c r="G352" i="4" s="1"/>
  <c r="G353" i="4" s="1"/>
  <c r="G354" i="4" s="1"/>
  <c r="G355" i="4" s="1"/>
  <c r="G356" i="4" s="1"/>
  <c r="G357" i="4" s="1"/>
  <c r="G358" i="4" s="1"/>
  <c r="G359" i="4" s="1"/>
  <c r="G360" i="4" s="1"/>
  <c r="G361" i="4" s="1"/>
  <c r="G362" i="4" s="1"/>
  <c r="G363" i="4" s="1"/>
  <c r="G364" i="4" s="1"/>
  <c r="G365" i="4" s="1"/>
  <c r="G366" i="4" s="1"/>
  <c r="G367" i="4" s="1"/>
  <c r="G368" i="4" s="1"/>
  <c r="G369" i="4" s="1"/>
  <c r="G370" i="4" s="1"/>
  <c r="G371" i="4" s="1"/>
  <c r="G372" i="4" s="1"/>
  <c r="G373" i="4" s="1"/>
  <c r="G374" i="4" s="1"/>
  <c r="G375" i="4" s="1"/>
  <c r="G376" i="4" s="1"/>
  <c r="G377" i="4" s="1"/>
  <c r="G378" i="4" s="1"/>
  <c r="G379" i="4" s="1"/>
  <c r="G380" i="4" s="1"/>
  <c r="G381" i="4" s="1"/>
  <c r="G382" i="4" s="1"/>
  <c r="G383" i="4" s="1"/>
  <c r="G384" i="4" s="1"/>
  <c r="G385" i="4" s="1"/>
  <c r="G391" i="4"/>
  <c r="G392" i="4"/>
  <c r="T61" i="3" l="1"/>
  <c r="Q61" i="3"/>
  <c r="P61" i="3"/>
  <c r="O61" i="3"/>
  <c r="N61" i="3"/>
  <c r="K61" i="3"/>
  <c r="J60" i="3"/>
  <c r="G60" i="3"/>
  <c r="G62" i="3" s="1"/>
  <c r="F60" i="3"/>
  <c r="T55" i="3"/>
  <c r="Q55" i="3"/>
  <c r="P55" i="3"/>
  <c r="O55" i="3"/>
  <c r="N55" i="3"/>
  <c r="K55" i="3"/>
  <c r="T54" i="3"/>
  <c r="Q54" i="3"/>
  <c r="P54" i="3"/>
  <c r="O54" i="3"/>
  <c r="N54" i="3"/>
  <c r="K54" i="3"/>
  <c r="T53" i="3"/>
  <c r="Q53" i="3"/>
  <c r="P53" i="3"/>
  <c r="O53" i="3"/>
  <c r="N53" i="3"/>
  <c r="K53" i="3"/>
  <c r="T52" i="3"/>
  <c r="Q52" i="3"/>
  <c r="P52" i="3"/>
  <c r="O52" i="3"/>
  <c r="N52" i="3"/>
  <c r="K52" i="3"/>
  <c r="T51" i="3"/>
  <c r="Q51" i="3"/>
  <c r="P51" i="3"/>
  <c r="O51" i="3"/>
  <c r="N51" i="3"/>
  <c r="K51" i="3"/>
  <c r="T50" i="3"/>
  <c r="Q50" i="3"/>
  <c r="P50" i="3"/>
  <c r="O50" i="3"/>
  <c r="N50" i="3"/>
  <c r="K50" i="3"/>
  <c r="T49" i="3"/>
  <c r="Q49" i="3"/>
  <c r="P49" i="3"/>
  <c r="O49" i="3"/>
  <c r="N49" i="3"/>
  <c r="K49" i="3"/>
  <c r="T48" i="3"/>
  <c r="Q48" i="3"/>
  <c r="P48" i="3"/>
  <c r="O48" i="3"/>
  <c r="N48" i="3"/>
  <c r="K48" i="3"/>
  <c r="T47" i="3"/>
  <c r="Q47" i="3"/>
  <c r="P47" i="3"/>
  <c r="O47" i="3"/>
  <c r="N47" i="3"/>
  <c r="K47" i="3"/>
  <c r="T46" i="3"/>
  <c r="Q46" i="3"/>
  <c r="P46" i="3"/>
  <c r="O46" i="3"/>
  <c r="N46" i="3"/>
  <c r="K46" i="3"/>
  <c r="T45" i="3"/>
  <c r="Q45" i="3"/>
  <c r="P45" i="3"/>
  <c r="O45" i="3"/>
  <c r="N45" i="3"/>
  <c r="K45" i="3"/>
  <c r="T44" i="3"/>
  <c r="Q44" i="3"/>
  <c r="P44" i="3"/>
  <c r="O44" i="3"/>
  <c r="N44" i="3"/>
  <c r="K44" i="3"/>
  <c r="T43" i="3"/>
  <c r="Q43" i="3"/>
  <c r="P43" i="3"/>
  <c r="O43" i="3"/>
  <c r="N43" i="3"/>
  <c r="K43" i="3"/>
  <c r="T42" i="3"/>
  <c r="Q42" i="3"/>
  <c r="P42" i="3"/>
  <c r="O42" i="3"/>
  <c r="N42" i="3"/>
  <c r="K42" i="3"/>
  <c r="T41" i="3"/>
  <c r="Q41" i="3"/>
  <c r="P41" i="3"/>
  <c r="O41" i="3"/>
  <c r="N41" i="3"/>
  <c r="K41" i="3"/>
  <c r="T40" i="3"/>
  <c r="Q40" i="3"/>
  <c r="P40" i="3"/>
  <c r="O40" i="3"/>
  <c r="N40" i="3"/>
  <c r="K40" i="3"/>
  <c r="T39" i="3"/>
  <c r="Q39" i="3"/>
  <c r="P39" i="3"/>
  <c r="O39" i="3"/>
  <c r="N39" i="3"/>
  <c r="K39" i="3"/>
  <c r="T38" i="3"/>
  <c r="Q38" i="3"/>
  <c r="P38" i="3"/>
  <c r="O38" i="3"/>
  <c r="N38" i="3"/>
  <c r="K38" i="3"/>
  <c r="T37" i="3"/>
  <c r="Q37" i="3"/>
  <c r="P37" i="3"/>
  <c r="O37" i="3"/>
  <c r="N37" i="3"/>
  <c r="K37" i="3"/>
  <c r="T36" i="3"/>
  <c r="Q36" i="3"/>
  <c r="P36" i="3"/>
  <c r="O36" i="3"/>
  <c r="N36" i="3"/>
  <c r="K36" i="3"/>
  <c r="T35" i="3"/>
  <c r="Q35" i="3"/>
  <c r="P35" i="3"/>
  <c r="O35" i="3"/>
  <c r="N35" i="3"/>
  <c r="K35" i="3"/>
  <c r="T34" i="3"/>
  <c r="Q34" i="3"/>
  <c r="P34" i="3"/>
  <c r="O34" i="3"/>
  <c r="N34" i="3"/>
  <c r="K34" i="3"/>
  <c r="T33" i="3"/>
  <c r="Q33" i="3"/>
  <c r="P33" i="3"/>
  <c r="O33" i="3"/>
  <c r="N33" i="3"/>
  <c r="K33" i="3"/>
  <c r="T32" i="3"/>
  <c r="Q32" i="3"/>
  <c r="P32" i="3"/>
  <c r="O32" i="3"/>
  <c r="N32" i="3"/>
  <c r="K32" i="3"/>
  <c r="T31" i="3"/>
  <c r="Q31" i="3"/>
  <c r="P31" i="3"/>
  <c r="O31" i="3"/>
  <c r="N31" i="3"/>
  <c r="K31" i="3"/>
  <c r="T30" i="3"/>
  <c r="Q30" i="3"/>
  <c r="P30" i="3"/>
  <c r="O30" i="3"/>
  <c r="N30" i="3"/>
  <c r="K30" i="3"/>
  <c r="T29" i="3"/>
  <c r="Q29" i="3"/>
  <c r="P29" i="3"/>
  <c r="O29" i="3"/>
  <c r="N29" i="3"/>
  <c r="K29" i="3"/>
  <c r="T28" i="3"/>
  <c r="Q28" i="3"/>
  <c r="P28" i="3"/>
  <c r="O28" i="3"/>
  <c r="N28" i="3"/>
  <c r="K28" i="3"/>
  <c r="T27" i="3"/>
  <c r="Q27" i="3"/>
  <c r="P27" i="3"/>
  <c r="O27" i="3"/>
  <c r="N27" i="3"/>
  <c r="K27" i="3"/>
  <c r="T26" i="3"/>
  <c r="Q26" i="3"/>
  <c r="P26" i="3"/>
  <c r="O26" i="3"/>
  <c r="N26" i="3"/>
  <c r="K26" i="3"/>
  <c r="T25" i="3"/>
  <c r="Q25" i="3"/>
  <c r="P25" i="3"/>
  <c r="O25" i="3"/>
  <c r="N25" i="3"/>
  <c r="K25" i="3"/>
  <c r="J24" i="3"/>
  <c r="G24" i="3"/>
  <c r="G56" i="3" s="1"/>
  <c r="F24" i="3"/>
  <c r="F56" i="3" s="1"/>
  <c r="T20" i="3"/>
  <c r="Q20" i="3"/>
  <c r="P20" i="3"/>
  <c r="O20" i="3"/>
  <c r="N20" i="3"/>
  <c r="K20" i="3"/>
  <c r="T19" i="3"/>
  <c r="Q19" i="3"/>
  <c r="P19" i="3"/>
  <c r="O19" i="3"/>
  <c r="N19" i="3"/>
  <c r="K19" i="3"/>
  <c r="J18" i="3"/>
  <c r="G18" i="3"/>
  <c r="G19" i="3" s="1"/>
  <c r="G20" i="3" s="1"/>
  <c r="F18" i="3"/>
  <c r="F21" i="3" s="1"/>
  <c r="T66" i="3"/>
  <c r="I12" i="3"/>
  <c r="I11" i="3"/>
  <c r="I10" i="3"/>
  <c r="C6" i="3"/>
  <c r="J10" i="3" s="1"/>
  <c r="C5" i="3"/>
  <c r="C4" i="3"/>
  <c r="C3" i="3"/>
  <c r="C2" i="3"/>
  <c r="C9" i="3" s="1"/>
  <c r="I60" i="3" l="1"/>
  <c r="I63" i="3" s="1"/>
  <c r="I18" i="3"/>
  <c r="I22" i="3" s="1"/>
  <c r="T63" i="3"/>
  <c r="T22" i="3"/>
  <c r="F19" i="3"/>
  <c r="F20" i="3" s="1"/>
  <c r="G21" i="3"/>
  <c r="I8" i="3"/>
  <c r="I24" i="3"/>
  <c r="I57" i="3" s="1"/>
  <c r="T57" i="3"/>
  <c r="G25" i="3"/>
  <c r="G26" i="3" s="1"/>
  <c r="G27" i="3" s="1"/>
  <c r="G28" i="3" s="1"/>
  <c r="G29" i="3" s="1"/>
  <c r="G30" i="3" s="1"/>
  <c r="G31" i="3" s="1"/>
  <c r="G32" i="3" s="1"/>
  <c r="G33" i="3" s="1"/>
  <c r="G34" i="3" s="1"/>
  <c r="G35" i="3" s="1"/>
  <c r="G36" i="3" s="1"/>
  <c r="G37" i="3" s="1"/>
  <c r="G38" i="3" s="1"/>
  <c r="G39" i="3" s="1"/>
  <c r="G40" i="3" s="1"/>
  <c r="G41" i="3" s="1"/>
  <c r="G42" i="3" s="1"/>
  <c r="G43" i="3" s="1"/>
  <c r="G44" i="3" s="1"/>
  <c r="G45" i="3" s="1"/>
  <c r="G46" i="3" s="1"/>
  <c r="G47" i="3" s="1"/>
  <c r="G48" i="3" s="1"/>
  <c r="G49" i="3" s="1"/>
  <c r="G50" i="3" s="1"/>
  <c r="G51" i="3" s="1"/>
  <c r="G52" i="3" s="1"/>
  <c r="G53" i="3" s="1"/>
  <c r="G54" i="3" s="1"/>
  <c r="G55" i="3" s="1"/>
  <c r="F25" i="3"/>
  <c r="F26" i="3" s="1"/>
  <c r="F27" i="3" s="1"/>
  <c r="F28" i="3" s="1"/>
  <c r="F29" i="3" s="1"/>
  <c r="F30" i="3" s="1"/>
  <c r="F31" i="3" s="1"/>
  <c r="F32" i="3" s="1"/>
  <c r="F33" i="3" s="1"/>
  <c r="F34" i="3" s="1"/>
  <c r="F35" i="3" s="1"/>
  <c r="F36" i="3" s="1"/>
  <c r="F37" i="3" s="1"/>
  <c r="F38" i="3" s="1"/>
  <c r="F39" i="3" s="1"/>
  <c r="F40" i="3" s="1"/>
  <c r="F41" i="3" s="1"/>
  <c r="F42" i="3" s="1"/>
  <c r="F43" i="3" s="1"/>
  <c r="F44" i="3" s="1"/>
  <c r="F45" i="3" s="1"/>
  <c r="F46" i="3" s="1"/>
  <c r="F47" i="3" s="1"/>
  <c r="F48" i="3" s="1"/>
  <c r="F49" i="3" s="1"/>
  <c r="F50" i="3" s="1"/>
  <c r="F51" i="3" s="1"/>
  <c r="F52" i="3" s="1"/>
  <c r="F53" i="3" s="1"/>
  <c r="F54" i="3" s="1"/>
  <c r="F55" i="3" s="1"/>
  <c r="F62" i="3"/>
  <c r="F61" i="3"/>
  <c r="G61" i="3"/>
  <c r="T199" i="2" l="1"/>
  <c r="Q199" i="2"/>
  <c r="P199" i="2"/>
  <c r="O199" i="2"/>
  <c r="N199" i="2"/>
  <c r="K199" i="2"/>
  <c r="J198" i="2"/>
  <c r="G198" i="2"/>
  <c r="F198" i="2"/>
  <c r="F200" i="2" s="1"/>
  <c r="T193" i="2"/>
  <c r="Q193" i="2"/>
  <c r="P193" i="2"/>
  <c r="O193" i="2"/>
  <c r="N193" i="2"/>
  <c r="K193" i="2"/>
  <c r="T192" i="2"/>
  <c r="Q192" i="2"/>
  <c r="P192" i="2"/>
  <c r="O192" i="2"/>
  <c r="N192" i="2"/>
  <c r="K192" i="2"/>
  <c r="T191" i="2"/>
  <c r="Q191" i="2"/>
  <c r="P191" i="2"/>
  <c r="O191" i="2"/>
  <c r="N191" i="2"/>
  <c r="K191" i="2"/>
  <c r="T190" i="2"/>
  <c r="Q190" i="2"/>
  <c r="P190" i="2"/>
  <c r="O190" i="2"/>
  <c r="N190" i="2"/>
  <c r="K190" i="2"/>
  <c r="T189" i="2"/>
  <c r="Q189" i="2"/>
  <c r="P189" i="2"/>
  <c r="O189" i="2"/>
  <c r="N189" i="2"/>
  <c r="K189" i="2"/>
  <c r="T188" i="2"/>
  <c r="Q188" i="2"/>
  <c r="P188" i="2"/>
  <c r="O188" i="2"/>
  <c r="N188" i="2"/>
  <c r="K188" i="2"/>
  <c r="T187" i="2"/>
  <c r="Q187" i="2"/>
  <c r="P187" i="2"/>
  <c r="O187" i="2"/>
  <c r="N187" i="2"/>
  <c r="K187" i="2"/>
  <c r="T186" i="2"/>
  <c r="Q186" i="2"/>
  <c r="P186" i="2"/>
  <c r="O186" i="2"/>
  <c r="N186" i="2"/>
  <c r="K186" i="2"/>
  <c r="T185" i="2"/>
  <c r="Q185" i="2"/>
  <c r="P185" i="2"/>
  <c r="O185" i="2"/>
  <c r="N185" i="2"/>
  <c r="K185" i="2"/>
  <c r="T184" i="2"/>
  <c r="Q184" i="2"/>
  <c r="P184" i="2"/>
  <c r="O184" i="2"/>
  <c r="N184" i="2"/>
  <c r="K184" i="2"/>
  <c r="T183" i="2"/>
  <c r="Q183" i="2"/>
  <c r="P183" i="2"/>
  <c r="O183" i="2"/>
  <c r="N183" i="2"/>
  <c r="K183" i="2"/>
  <c r="T182" i="2"/>
  <c r="Q182" i="2"/>
  <c r="P182" i="2"/>
  <c r="O182" i="2"/>
  <c r="N182" i="2"/>
  <c r="K182" i="2"/>
  <c r="T181" i="2"/>
  <c r="Q181" i="2"/>
  <c r="P181" i="2"/>
  <c r="O181" i="2"/>
  <c r="N181" i="2"/>
  <c r="K181" i="2"/>
  <c r="T180" i="2"/>
  <c r="Q180" i="2"/>
  <c r="P180" i="2"/>
  <c r="O180" i="2"/>
  <c r="N180" i="2"/>
  <c r="K180" i="2"/>
  <c r="J179" i="2"/>
  <c r="G179" i="2"/>
  <c r="F179" i="2"/>
  <c r="T175" i="2"/>
  <c r="Q175" i="2"/>
  <c r="P175" i="2"/>
  <c r="O175" i="2"/>
  <c r="N175" i="2"/>
  <c r="K175" i="2"/>
  <c r="T174" i="2"/>
  <c r="Q174" i="2"/>
  <c r="P174" i="2"/>
  <c r="O174" i="2"/>
  <c r="N174" i="2"/>
  <c r="K174" i="2"/>
  <c r="T173" i="2"/>
  <c r="Q173" i="2"/>
  <c r="P173" i="2"/>
  <c r="O173" i="2"/>
  <c r="N173" i="2"/>
  <c r="K173" i="2"/>
  <c r="T172" i="2"/>
  <c r="Q172" i="2"/>
  <c r="P172" i="2"/>
  <c r="O172" i="2"/>
  <c r="N172" i="2"/>
  <c r="K172" i="2"/>
  <c r="T171" i="2"/>
  <c r="Q171" i="2"/>
  <c r="P171" i="2"/>
  <c r="O171" i="2"/>
  <c r="N171" i="2"/>
  <c r="K171" i="2"/>
  <c r="T170" i="2"/>
  <c r="Q170" i="2"/>
  <c r="P170" i="2"/>
  <c r="O170" i="2"/>
  <c r="N170" i="2"/>
  <c r="K170" i="2"/>
  <c r="T169" i="2"/>
  <c r="Q169" i="2"/>
  <c r="P169" i="2"/>
  <c r="O169" i="2"/>
  <c r="N169" i="2"/>
  <c r="K169" i="2"/>
  <c r="T168" i="2"/>
  <c r="Q168" i="2"/>
  <c r="P168" i="2"/>
  <c r="O168" i="2"/>
  <c r="N168" i="2"/>
  <c r="K168" i="2"/>
  <c r="T167" i="2"/>
  <c r="Q167" i="2"/>
  <c r="P167" i="2"/>
  <c r="O167" i="2"/>
  <c r="N167" i="2"/>
  <c r="K167" i="2"/>
  <c r="T166" i="2"/>
  <c r="Q166" i="2"/>
  <c r="P166" i="2"/>
  <c r="O166" i="2"/>
  <c r="N166" i="2"/>
  <c r="K166" i="2"/>
  <c r="T165" i="2"/>
  <c r="Q165" i="2"/>
  <c r="P165" i="2"/>
  <c r="O165" i="2"/>
  <c r="N165" i="2"/>
  <c r="K165" i="2"/>
  <c r="T164" i="2"/>
  <c r="Q164" i="2"/>
  <c r="P164" i="2"/>
  <c r="O164" i="2"/>
  <c r="N164" i="2"/>
  <c r="K164" i="2"/>
  <c r="T163" i="2"/>
  <c r="Q163" i="2"/>
  <c r="P163" i="2"/>
  <c r="O163" i="2"/>
  <c r="N163" i="2"/>
  <c r="K163" i="2"/>
  <c r="T162" i="2"/>
  <c r="Q162" i="2"/>
  <c r="P162" i="2"/>
  <c r="O162" i="2"/>
  <c r="N162" i="2"/>
  <c r="K162" i="2"/>
  <c r="T161" i="2"/>
  <c r="Q161" i="2"/>
  <c r="P161" i="2"/>
  <c r="O161" i="2"/>
  <c r="N161" i="2"/>
  <c r="K161" i="2"/>
  <c r="T160" i="2"/>
  <c r="Q160" i="2"/>
  <c r="P160" i="2"/>
  <c r="O160" i="2"/>
  <c r="N160" i="2"/>
  <c r="K160" i="2"/>
  <c r="T159" i="2"/>
  <c r="Q159" i="2"/>
  <c r="P159" i="2"/>
  <c r="O159" i="2"/>
  <c r="N159" i="2"/>
  <c r="K159" i="2"/>
  <c r="T158" i="2"/>
  <c r="Q158" i="2"/>
  <c r="P158" i="2"/>
  <c r="O158" i="2"/>
  <c r="N158" i="2"/>
  <c r="K158" i="2"/>
  <c r="T157" i="2"/>
  <c r="Q157" i="2"/>
  <c r="P157" i="2"/>
  <c r="O157" i="2"/>
  <c r="N157" i="2"/>
  <c r="K157" i="2"/>
  <c r="T156" i="2"/>
  <c r="Q156" i="2"/>
  <c r="P156" i="2"/>
  <c r="O156" i="2"/>
  <c r="N156" i="2"/>
  <c r="K156" i="2"/>
  <c r="J155" i="2"/>
  <c r="G155" i="2"/>
  <c r="F155" i="2"/>
  <c r="T150" i="2"/>
  <c r="Q150" i="2"/>
  <c r="P150" i="2"/>
  <c r="O150" i="2"/>
  <c r="N150" i="2"/>
  <c r="K150" i="2"/>
  <c r="T149" i="2"/>
  <c r="Q149" i="2"/>
  <c r="P149" i="2"/>
  <c r="O149" i="2"/>
  <c r="N149" i="2"/>
  <c r="K149" i="2"/>
  <c r="T148" i="2"/>
  <c r="Q148" i="2"/>
  <c r="P148" i="2"/>
  <c r="O148" i="2"/>
  <c r="N148" i="2"/>
  <c r="K148" i="2"/>
  <c r="T147" i="2"/>
  <c r="Q147" i="2"/>
  <c r="P147" i="2"/>
  <c r="O147" i="2"/>
  <c r="N147" i="2"/>
  <c r="K147" i="2"/>
  <c r="T146" i="2"/>
  <c r="Q146" i="2"/>
  <c r="P146" i="2"/>
  <c r="O146" i="2"/>
  <c r="N146" i="2"/>
  <c r="K146" i="2"/>
  <c r="T145" i="2"/>
  <c r="Q145" i="2"/>
  <c r="P145" i="2"/>
  <c r="O145" i="2"/>
  <c r="N145" i="2"/>
  <c r="K145" i="2"/>
  <c r="T144" i="2"/>
  <c r="Q144" i="2"/>
  <c r="P144" i="2"/>
  <c r="O144" i="2"/>
  <c r="N144" i="2"/>
  <c r="K144" i="2"/>
  <c r="T143" i="2"/>
  <c r="Q143" i="2"/>
  <c r="P143" i="2"/>
  <c r="O143" i="2"/>
  <c r="N143" i="2"/>
  <c r="K143" i="2"/>
  <c r="T142" i="2"/>
  <c r="Q142" i="2"/>
  <c r="P142" i="2"/>
  <c r="O142" i="2"/>
  <c r="N142" i="2"/>
  <c r="K142" i="2"/>
  <c r="T141" i="2"/>
  <c r="Q141" i="2"/>
  <c r="P141" i="2"/>
  <c r="O141" i="2"/>
  <c r="N141" i="2"/>
  <c r="K141" i="2"/>
  <c r="T140" i="2"/>
  <c r="Q140" i="2"/>
  <c r="P140" i="2"/>
  <c r="O140" i="2"/>
  <c r="N140" i="2"/>
  <c r="K140" i="2"/>
  <c r="T139" i="2"/>
  <c r="Q139" i="2"/>
  <c r="P139" i="2"/>
  <c r="O139" i="2"/>
  <c r="N139" i="2"/>
  <c r="K139" i="2"/>
  <c r="T138" i="2"/>
  <c r="Q138" i="2"/>
  <c r="P138" i="2"/>
  <c r="O138" i="2"/>
  <c r="N138" i="2"/>
  <c r="K138" i="2"/>
  <c r="T137" i="2"/>
  <c r="Q137" i="2"/>
  <c r="P137" i="2"/>
  <c r="O137" i="2"/>
  <c r="N137" i="2"/>
  <c r="K137" i="2"/>
  <c r="T136" i="2"/>
  <c r="Q136" i="2"/>
  <c r="P136" i="2"/>
  <c r="O136" i="2"/>
  <c r="N136" i="2"/>
  <c r="K136" i="2"/>
  <c r="T135" i="2"/>
  <c r="Q135" i="2"/>
  <c r="P135" i="2"/>
  <c r="O135" i="2"/>
  <c r="N135" i="2"/>
  <c r="K135" i="2"/>
  <c r="T134" i="2"/>
  <c r="Q134" i="2"/>
  <c r="P134" i="2"/>
  <c r="O134" i="2"/>
  <c r="N134" i="2"/>
  <c r="K134" i="2"/>
  <c r="T133" i="2"/>
  <c r="Q133" i="2"/>
  <c r="P133" i="2"/>
  <c r="O133" i="2"/>
  <c r="N133" i="2"/>
  <c r="K133" i="2"/>
  <c r="T132" i="2"/>
  <c r="Q132" i="2"/>
  <c r="P132" i="2"/>
  <c r="O132" i="2"/>
  <c r="N132" i="2"/>
  <c r="K132" i="2"/>
  <c r="T131" i="2"/>
  <c r="Q131" i="2"/>
  <c r="P131" i="2"/>
  <c r="O131" i="2"/>
  <c r="N131" i="2"/>
  <c r="K131" i="2"/>
  <c r="J130" i="2"/>
  <c r="G130" i="2"/>
  <c r="F130" i="2"/>
  <c r="T125" i="2"/>
  <c r="Q125" i="2"/>
  <c r="P125" i="2"/>
  <c r="O125" i="2"/>
  <c r="N125" i="2"/>
  <c r="K125" i="2"/>
  <c r="T124" i="2"/>
  <c r="Q124" i="2"/>
  <c r="P124" i="2"/>
  <c r="O124" i="2"/>
  <c r="N124" i="2"/>
  <c r="K124" i="2"/>
  <c r="T123" i="2"/>
  <c r="Q123" i="2"/>
  <c r="P123" i="2"/>
  <c r="O123" i="2"/>
  <c r="N123" i="2"/>
  <c r="K123" i="2"/>
  <c r="T122" i="2"/>
  <c r="Q122" i="2"/>
  <c r="P122" i="2"/>
  <c r="O122" i="2"/>
  <c r="N122" i="2"/>
  <c r="K122" i="2"/>
  <c r="T121" i="2"/>
  <c r="Q121" i="2"/>
  <c r="P121" i="2"/>
  <c r="O121" i="2"/>
  <c r="N121" i="2"/>
  <c r="K121" i="2"/>
  <c r="T120" i="2"/>
  <c r="Q120" i="2"/>
  <c r="P120" i="2"/>
  <c r="O120" i="2"/>
  <c r="N120" i="2"/>
  <c r="K120" i="2"/>
  <c r="T119" i="2"/>
  <c r="Q119" i="2"/>
  <c r="P119" i="2"/>
  <c r="O119" i="2"/>
  <c r="N119" i="2"/>
  <c r="K119" i="2"/>
  <c r="T118" i="2"/>
  <c r="Q118" i="2"/>
  <c r="P118" i="2"/>
  <c r="O118" i="2"/>
  <c r="N118" i="2"/>
  <c r="K118" i="2"/>
  <c r="T117" i="2"/>
  <c r="Q117" i="2"/>
  <c r="P117" i="2"/>
  <c r="O117" i="2"/>
  <c r="N117" i="2"/>
  <c r="K117" i="2"/>
  <c r="T116" i="2"/>
  <c r="Q116" i="2"/>
  <c r="P116" i="2"/>
  <c r="O116" i="2"/>
  <c r="N116" i="2"/>
  <c r="K116" i="2"/>
  <c r="T115" i="2"/>
  <c r="Q115" i="2"/>
  <c r="P115" i="2"/>
  <c r="O115" i="2"/>
  <c r="N115" i="2"/>
  <c r="K115" i="2"/>
  <c r="T114" i="2"/>
  <c r="Q114" i="2"/>
  <c r="P114" i="2"/>
  <c r="O114" i="2"/>
  <c r="N114" i="2"/>
  <c r="K114" i="2"/>
  <c r="T113" i="2"/>
  <c r="Q113" i="2"/>
  <c r="P113" i="2"/>
  <c r="O113" i="2"/>
  <c r="N113" i="2"/>
  <c r="K113" i="2"/>
  <c r="T112" i="2"/>
  <c r="Q112" i="2"/>
  <c r="P112" i="2"/>
  <c r="O112" i="2"/>
  <c r="N112" i="2"/>
  <c r="K112" i="2"/>
  <c r="T111" i="2"/>
  <c r="Q111" i="2"/>
  <c r="P111" i="2"/>
  <c r="O111" i="2"/>
  <c r="N111" i="2"/>
  <c r="K111" i="2"/>
  <c r="T110" i="2"/>
  <c r="Q110" i="2"/>
  <c r="P110" i="2"/>
  <c r="O110" i="2"/>
  <c r="N110" i="2"/>
  <c r="K110" i="2"/>
  <c r="T109" i="2"/>
  <c r="Q109" i="2"/>
  <c r="P109" i="2"/>
  <c r="O109" i="2"/>
  <c r="N109" i="2"/>
  <c r="K109" i="2"/>
  <c r="T108" i="2"/>
  <c r="Q108" i="2"/>
  <c r="P108" i="2"/>
  <c r="O108" i="2"/>
  <c r="N108" i="2"/>
  <c r="K108" i="2"/>
  <c r="T107" i="2"/>
  <c r="Q107" i="2"/>
  <c r="P107" i="2"/>
  <c r="O107" i="2"/>
  <c r="N107" i="2"/>
  <c r="K107" i="2"/>
  <c r="T106" i="2"/>
  <c r="Q106" i="2"/>
  <c r="P106" i="2"/>
  <c r="O106" i="2"/>
  <c r="N106" i="2"/>
  <c r="K106" i="2"/>
  <c r="T105" i="2"/>
  <c r="Q105" i="2"/>
  <c r="P105" i="2"/>
  <c r="O105" i="2"/>
  <c r="N105" i="2"/>
  <c r="K105" i="2"/>
  <c r="T104" i="2"/>
  <c r="Q104" i="2"/>
  <c r="P104" i="2"/>
  <c r="O104" i="2"/>
  <c r="N104" i="2"/>
  <c r="K104" i="2"/>
  <c r="T103" i="2"/>
  <c r="Q103" i="2"/>
  <c r="P103" i="2"/>
  <c r="O103" i="2"/>
  <c r="N103" i="2"/>
  <c r="K103" i="2"/>
  <c r="T102" i="2"/>
  <c r="Q102" i="2"/>
  <c r="P102" i="2"/>
  <c r="O102" i="2"/>
  <c r="N102" i="2"/>
  <c r="K102" i="2"/>
  <c r="T101" i="2"/>
  <c r="Q101" i="2"/>
  <c r="P101" i="2"/>
  <c r="O101" i="2"/>
  <c r="N101" i="2"/>
  <c r="K101" i="2"/>
  <c r="T100" i="2"/>
  <c r="Q100" i="2"/>
  <c r="P100" i="2"/>
  <c r="O100" i="2"/>
  <c r="N100" i="2"/>
  <c r="K100" i="2"/>
  <c r="T99" i="2"/>
  <c r="Q99" i="2"/>
  <c r="P99" i="2"/>
  <c r="O99" i="2"/>
  <c r="N99" i="2"/>
  <c r="K99" i="2"/>
  <c r="T98" i="2"/>
  <c r="Q98" i="2"/>
  <c r="P98" i="2"/>
  <c r="O98" i="2"/>
  <c r="N98" i="2"/>
  <c r="K98" i="2"/>
  <c r="T97" i="2"/>
  <c r="Q97" i="2"/>
  <c r="P97" i="2"/>
  <c r="O97" i="2"/>
  <c r="N97" i="2"/>
  <c r="K97" i="2"/>
  <c r="T96" i="2"/>
  <c r="Q96" i="2"/>
  <c r="P96" i="2"/>
  <c r="O96" i="2"/>
  <c r="N96" i="2"/>
  <c r="K96" i="2"/>
  <c r="T95" i="2"/>
  <c r="Q95" i="2"/>
  <c r="P95" i="2"/>
  <c r="O95" i="2"/>
  <c r="N95" i="2"/>
  <c r="K95" i="2"/>
  <c r="T94" i="2"/>
  <c r="Q94" i="2"/>
  <c r="P94" i="2"/>
  <c r="O94" i="2"/>
  <c r="N94" i="2"/>
  <c r="K94" i="2"/>
  <c r="T93" i="2"/>
  <c r="Q93" i="2"/>
  <c r="P93" i="2"/>
  <c r="O93" i="2"/>
  <c r="N93" i="2"/>
  <c r="K93" i="2"/>
  <c r="T92" i="2"/>
  <c r="Q92" i="2"/>
  <c r="P92" i="2"/>
  <c r="O92" i="2"/>
  <c r="N92" i="2"/>
  <c r="K92" i="2"/>
  <c r="T91" i="2"/>
  <c r="Q91" i="2"/>
  <c r="P91" i="2"/>
  <c r="O91" i="2"/>
  <c r="N91" i="2"/>
  <c r="K91" i="2"/>
  <c r="T90" i="2"/>
  <c r="Q90" i="2"/>
  <c r="P90" i="2"/>
  <c r="O90" i="2"/>
  <c r="N90" i="2"/>
  <c r="K90" i="2"/>
  <c r="T89" i="2"/>
  <c r="Q89" i="2"/>
  <c r="P89" i="2"/>
  <c r="O89" i="2"/>
  <c r="N89" i="2"/>
  <c r="K89" i="2"/>
  <c r="T88" i="2"/>
  <c r="Q88" i="2"/>
  <c r="P88" i="2"/>
  <c r="O88" i="2"/>
  <c r="N88" i="2"/>
  <c r="K88" i="2"/>
  <c r="T87" i="2"/>
  <c r="Q87" i="2"/>
  <c r="P87" i="2"/>
  <c r="O87" i="2"/>
  <c r="N87" i="2"/>
  <c r="K87" i="2"/>
  <c r="T86" i="2"/>
  <c r="Q86" i="2"/>
  <c r="P86" i="2"/>
  <c r="O86" i="2"/>
  <c r="N86" i="2"/>
  <c r="K86" i="2"/>
  <c r="T85" i="2"/>
  <c r="Q85" i="2"/>
  <c r="P85" i="2"/>
  <c r="O85" i="2"/>
  <c r="N85" i="2"/>
  <c r="K85" i="2"/>
  <c r="T84" i="2"/>
  <c r="Q84" i="2"/>
  <c r="P84" i="2"/>
  <c r="O84" i="2"/>
  <c r="N84" i="2"/>
  <c r="K84" i="2"/>
  <c r="T83" i="2"/>
  <c r="Q83" i="2"/>
  <c r="P83" i="2"/>
  <c r="O83" i="2"/>
  <c r="N83" i="2"/>
  <c r="K83" i="2"/>
  <c r="T82" i="2"/>
  <c r="Q82" i="2"/>
  <c r="P82" i="2"/>
  <c r="O82" i="2"/>
  <c r="N82" i="2"/>
  <c r="K82" i="2"/>
  <c r="T81" i="2"/>
  <c r="Q81" i="2"/>
  <c r="P81" i="2"/>
  <c r="O81" i="2"/>
  <c r="N81" i="2"/>
  <c r="K81" i="2"/>
  <c r="T80" i="2"/>
  <c r="Q80" i="2"/>
  <c r="P80" i="2"/>
  <c r="O80" i="2"/>
  <c r="N80" i="2"/>
  <c r="K80" i="2"/>
  <c r="T79" i="2"/>
  <c r="Q79" i="2"/>
  <c r="P79" i="2"/>
  <c r="O79" i="2"/>
  <c r="N79" i="2"/>
  <c r="K79" i="2"/>
  <c r="T78" i="2"/>
  <c r="Q78" i="2"/>
  <c r="P78" i="2"/>
  <c r="O78" i="2"/>
  <c r="N78" i="2"/>
  <c r="K78" i="2"/>
  <c r="T77" i="2"/>
  <c r="Q77" i="2"/>
  <c r="P77" i="2"/>
  <c r="O77" i="2"/>
  <c r="N77" i="2"/>
  <c r="K77" i="2"/>
  <c r="T76" i="2"/>
  <c r="Q76" i="2"/>
  <c r="P76" i="2"/>
  <c r="O76" i="2"/>
  <c r="N76" i="2"/>
  <c r="K76" i="2"/>
  <c r="T75" i="2"/>
  <c r="Q75" i="2"/>
  <c r="P75" i="2"/>
  <c r="O75" i="2"/>
  <c r="N75" i="2"/>
  <c r="K75" i="2"/>
  <c r="T74" i="2"/>
  <c r="Q74" i="2"/>
  <c r="P74" i="2"/>
  <c r="O74" i="2"/>
  <c r="N74" i="2"/>
  <c r="K74" i="2"/>
  <c r="T73" i="2"/>
  <c r="Q73" i="2"/>
  <c r="P73" i="2"/>
  <c r="O73" i="2"/>
  <c r="N73" i="2"/>
  <c r="K73" i="2"/>
  <c r="T72" i="2"/>
  <c r="Q72" i="2"/>
  <c r="P72" i="2"/>
  <c r="O72" i="2"/>
  <c r="N72" i="2"/>
  <c r="K72" i="2"/>
  <c r="T71" i="2"/>
  <c r="Q71" i="2"/>
  <c r="P71" i="2"/>
  <c r="O71" i="2"/>
  <c r="N71" i="2"/>
  <c r="K71" i="2"/>
  <c r="T70" i="2"/>
  <c r="Q70" i="2"/>
  <c r="P70" i="2"/>
  <c r="O70" i="2"/>
  <c r="N70" i="2"/>
  <c r="K70" i="2"/>
  <c r="T69" i="2"/>
  <c r="Q69" i="2"/>
  <c r="P69" i="2"/>
  <c r="O69" i="2"/>
  <c r="N69" i="2"/>
  <c r="K69" i="2"/>
  <c r="T68" i="2"/>
  <c r="Q68" i="2"/>
  <c r="P68" i="2"/>
  <c r="O68" i="2"/>
  <c r="N68" i="2"/>
  <c r="K68" i="2"/>
  <c r="T67" i="2"/>
  <c r="Q67" i="2"/>
  <c r="P67" i="2"/>
  <c r="O67" i="2"/>
  <c r="N67" i="2"/>
  <c r="K67" i="2"/>
  <c r="T66" i="2"/>
  <c r="Q66" i="2"/>
  <c r="P66" i="2"/>
  <c r="O66" i="2"/>
  <c r="N66" i="2"/>
  <c r="K66" i="2"/>
  <c r="T65" i="2"/>
  <c r="Q65" i="2"/>
  <c r="P65" i="2"/>
  <c r="O65" i="2"/>
  <c r="N65" i="2"/>
  <c r="K65" i="2"/>
  <c r="T64" i="2"/>
  <c r="Q64" i="2"/>
  <c r="P64" i="2"/>
  <c r="O64" i="2"/>
  <c r="N64" i="2"/>
  <c r="K64" i="2"/>
  <c r="T63" i="2"/>
  <c r="Q63" i="2"/>
  <c r="P63" i="2"/>
  <c r="O63" i="2"/>
  <c r="N63" i="2"/>
  <c r="K63" i="2"/>
  <c r="T62" i="2"/>
  <c r="Q62" i="2"/>
  <c r="P62" i="2"/>
  <c r="O62" i="2"/>
  <c r="N62" i="2"/>
  <c r="K62" i="2"/>
  <c r="T61" i="2"/>
  <c r="Q61" i="2"/>
  <c r="P61" i="2"/>
  <c r="O61" i="2"/>
  <c r="N61" i="2"/>
  <c r="K61" i="2"/>
  <c r="J60" i="2"/>
  <c r="G60" i="2"/>
  <c r="F60" i="2"/>
  <c r="T55" i="2"/>
  <c r="Q55" i="2"/>
  <c r="P55" i="2"/>
  <c r="O55" i="2"/>
  <c r="N55" i="2"/>
  <c r="K55" i="2"/>
  <c r="T54" i="2"/>
  <c r="Q54" i="2"/>
  <c r="P54" i="2"/>
  <c r="O54" i="2"/>
  <c r="N54" i="2"/>
  <c r="K54" i="2"/>
  <c r="T53" i="2"/>
  <c r="Q53" i="2"/>
  <c r="P53" i="2"/>
  <c r="O53" i="2"/>
  <c r="N53" i="2"/>
  <c r="K53" i="2"/>
  <c r="T52" i="2"/>
  <c r="Q52" i="2"/>
  <c r="P52" i="2"/>
  <c r="O52" i="2"/>
  <c r="N52" i="2"/>
  <c r="K52" i="2"/>
  <c r="T51" i="2"/>
  <c r="Q51" i="2"/>
  <c r="P51" i="2"/>
  <c r="O51" i="2"/>
  <c r="N51" i="2"/>
  <c r="K51" i="2"/>
  <c r="T50" i="2"/>
  <c r="Q50" i="2"/>
  <c r="P50" i="2"/>
  <c r="O50" i="2"/>
  <c r="N50" i="2"/>
  <c r="K50" i="2"/>
  <c r="T49" i="2"/>
  <c r="Q49" i="2"/>
  <c r="P49" i="2"/>
  <c r="O49" i="2"/>
  <c r="N49" i="2"/>
  <c r="K49" i="2"/>
  <c r="T48" i="2"/>
  <c r="Q48" i="2"/>
  <c r="P48" i="2"/>
  <c r="O48" i="2"/>
  <c r="N48" i="2"/>
  <c r="K48" i="2"/>
  <c r="T47" i="2"/>
  <c r="Q47" i="2"/>
  <c r="P47" i="2"/>
  <c r="O47" i="2"/>
  <c r="N47" i="2"/>
  <c r="K47" i="2"/>
  <c r="T46" i="2"/>
  <c r="Q46" i="2"/>
  <c r="P46" i="2"/>
  <c r="O46" i="2"/>
  <c r="N46" i="2"/>
  <c r="K46" i="2"/>
  <c r="T45" i="2"/>
  <c r="Q45" i="2"/>
  <c r="P45" i="2"/>
  <c r="O45" i="2"/>
  <c r="N45" i="2"/>
  <c r="K45" i="2"/>
  <c r="T44" i="2"/>
  <c r="Q44" i="2"/>
  <c r="P44" i="2"/>
  <c r="O44" i="2"/>
  <c r="N44" i="2"/>
  <c r="K44" i="2"/>
  <c r="T43" i="2"/>
  <c r="Q43" i="2"/>
  <c r="P43" i="2"/>
  <c r="O43" i="2"/>
  <c r="N43" i="2"/>
  <c r="K43" i="2"/>
  <c r="T42" i="2"/>
  <c r="Q42" i="2"/>
  <c r="P42" i="2"/>
  <c r="O42" i="2"/>
  <c r="N42" i="2"/>
  <c r="K42" i="2"/>
  <c r="T41" i="2"/>
  <c r="Q41" i="2"/>
  <c r="P41" i="2"/>
  <c r="O41" i="2"/>
  <c r="N41" i="2"/>
  <c r="K41" i="2"/>
  <c r="T40" i="2"/>
  <c r="Q40" i="2"/>
  <c r="P40" i="2"/>
  <c r="O40" i="2"/>
  <c r="N40" i="2"/>
  <c r="K40" i="2"/>
  <c r="T39" i="2"/>
  <c r="Q39" i="2"/>
  <c r="P39" i="2"/>
  <c r="O39" i="2"/>
  <c r="N39" i="2"/>
  <c r="K39" i="2"/>
  <c r="T38" i="2"/>
  <c r="Q38" i="2"/>
  <c r="P38" i="2"/>
  <c r="O38" i="2"/>
  <c r="N38" i="2"/>
  <c r="K38" i="2"/>
  <c r="T37" i="2"/>
  <c r="Q37" i="2"/>
  <c r="P37" i="2"/>
  <c r="O37" i="2"/>
  <c r="N37" i="2"/>
  <c r="K37" i="2"/>
  <c r="T36" i="2"/>
  <c r="Q36" i="2"/>
  <c r="P36" i="2"/>
  <c r="O36" i="2"/>
  <c r="N36" i="2"/>
  <c r="K36" i="2"/>
  <c r="T35" i="2"/>
  <c r="Q35" i="2"/>
  <c r="P35" i="2"/>
  <c r="O35" i="2"/>
  <c r="N35" i="2"/>
  <c r="K35" i="2"/>
  <c r="T34" i="2"/>
  <c r="Q34" i="2"/>
  <c r="P34" i="2"/>
  <c r="O34" i="2"/>
  <c r="N34" i="2"/>
  <c r="K34" i="2"/>
  <c r="T33" i="2"/>
  <c r="Q33" i="2"/>
  <c r="P33" i="2"/>
  <c r="O33" i="2"/>
  <c r="N33" i="2"/>
  <c r="K33" i="2"/>
  <c r="T32" i="2"/>
  <c r="Q32" i="2"/>
  <c r="P32" i="2"/>
  <c r="O32" i="2"/>
  <c r="N32" i="2"/>
  <c r="K32" i="2"/>
  <c r="T31" i="2"/>
  <c r="Q31" i="2"/>
  <c r="P31" i="2"/>
  <c r="O31" i="2"/>
  <c r="N31" i="2"/>
  <c r="K31" i="2"/>
  <c r="T30" i="2"/>
  <c r="Q30" i="2"/>
  <c r="P30" i="2"/>
  <c r="O30" i="2"/>
  <c r="N30" i="2"/>
  <c r="K30" i="2"/>
  <c r="T29" i="2"/>
  <c r="Q29" i="2"/>
  <c r="P29" i="2"/>
  <c r="O29" i="2"/>
  <c r="N29" i="2"/>
  <c r="K29" i="2"/>
  <c r="T28" i="2"/>
  <c r="Q28" i="2"/>
  <c r="P28" i="2"/>
  <c r="O28" i="2"/>
  <c r="N28" i="2"/>
  <c r="K28" i="2"/>
  <c r="T27" i="2"/>
  <c r="Q27" i="2"/>
  <c r="P27" i="2"/>
  <c r="O27" i="2"/>
  <c r="N27" i="2"/>
  <c r="K27" i="2"/>
  <c r="T26" i="2"/>
  <c r="Q26" i="2"/>
  <c r="P26" i="2"/>
  <c r="O26" i="2"/>
  <c r="N26" i="2"/>
  <c r="K26" i="2"/>
  <c r="T25" i="2"/>
  <c r="Q25" i="2"/>
  <c r="P25" i="2"/>
  <c r="O25" i="2"/>
  <c r="N25" i="2"/>
  <c r="K25" i="2"/>
  <c r="T24" i="2"/>
  <c r="Q24" i="2"/>
  <c r="P24" i="2"/>
  <c r="O24" i="2"/>
  <c r="N24" i="2"/>
  <c r="K24" i="2"/>
  <c r="T23" i="2"/>
  <c r="Q23" i="2"/>
  <c r="P23" i="2"/>
  <c r="O23" i="2"/>
  <c r="N23" i="2"/>
  <c r="K23" i="2"/>
  <c r="T22" i="2"/>
  <c r="Q22" i="2"/>
  <c r="P22" i="2"/>
  <c r="O22" i="2"/>
  <c r="N22" i="2"/>
  <c r="K22" i="2"/>
  <c r="T21" i="2"/>
  <c r="Q21" i="2"/>
  <c r="P21" i="2"/>
  <c r="O21" i="2"/>
  <c r="N21" i="2"/>
  <c r="K21" i="2"/>
  <c r="T20" i="2"/>
  <c r="Q20" i="2"/>
  <c r="P20" i="2"/>
  <c r="O20" i="2"/>
  <c r="N20" i="2"/>
  <c r="K20" i="2"/>
  <c r="T19" i="2"/>
  <c r="Q19" i="2"/>
  <c r="P19" i="2"/>
  <c r="O19" i="2"/>
  <c r="N19" i="2"/>
  <c r="K19" i="2"/>
  <c r="T18" i="2"/>
  <c r="Q18" i="2"/>
  <c r="P18" i="2"/>
  <c r="O18" i="2"/>
  <c r="N18" i="2"/>
  <c r="K18" i="2"/>
  <c r="J17" i="2"/>
  <c r="G17" i="2"/>
  <c r="F17" i="2"/>
  <c r="I12" i="2"/>
  <c r="I11" i="2"/>
  <c r="I10" i="2"/>
  <c r="C6" i="2"/>
  <c r="J10" i="2" s="1"/>
  <c r="C5" i="2"/>
  <c r="C4" i="2"/>
  <c r="C3" i="2"/>
  <c r="C2" i="2"/>
  <c r="C9" i="2" s="1"/>
  <c r="I155" i="2" l="1"/>
  <c r="I177" i="2" s="1"/>
  <c r="T201" i="2"/>
  <c r="T152" i="2"/>
  <c r="T57" i="2"/>
  <c r="T204" i="2" s="1"/>
  <c r="T177" i="2"/>
  <c r="T127" i="2"/>
  <c r="T195" i="2"/>
  <c r="I130" i="2"/>
  <c r="I152" i="2" s="1"/>
  <c r="I8" i="2"/>
  <c r="F126" i="2"/>
  <c r="F61" i="2"/>
  <c r="F62" i="2" s="1"/>
  <c r="F63" i="2" s="1"/>
  <c r="F64" i="2" s="1"/>
  <c r="F65" i="2" s="1"/>
  <c r="F66" i="2" s="1"/>
  <c r="F67" i="2" s="1"/>
  <c r="F68" i="2" s="1"/>
  <c r="F69" i="2" s="1"/>
  <c r="F70" i="2" s="1"/>
  <c r="F71" i="2" s="1"/>
  <c r="F72" i="2" s="1"/>
  <c r="F73" i="2" s="1"/>
  <c r="F74" i="2" s="1"/>
  <c r="F75" i="2" s="1"/>
  <c r="F76" i="2" s="1"/>
  <c r="F77" i="2" s="1"/>
  <c r="F78" i="2" s="1"/>
  <c r="F79" i="2" s="1"/>
  <c r="F80" i="2" s="1"/>
  <c r="F81" i="2" s="1"/>
  <c r="F82" i="2" s="1"/>
  <c r="F83" i="2" s="1"/>
  <c r="F84" i="2" s="1"/>
  <c r="F85" i="2" s="1"/>
  <c r="F86" i="2" s="1"/>
  <c r="F87" i="2" s="1"/>
  <c r="F88" i="2" s="1"/>
  <c r="F89" i="2" s="1"/>
  <c r="F90" i="2" s="1"/>
  <c r="F91" i="2" s="1"/>
  <c r="F92" i="2" s="1"/>
  <c r="F93" i="2" s="1"/>
  <c r="F94" i="2" s="1"/>
  <c r="F95" i="2" s="1"/>
  <c r="F96" i="2" s="1"/>
  <c r="F97" i="2" s="1"/>
  <c r="F98" i="2" s="1"/>
  <c r="F99" i="2" s="1"/>
  <c r="F100" i="2" s="1"/>
  <c r="F101" i="2" s="1"/>
  <c r="F102" i="2" s="1"/>
  <c r="F103" i="2" s="1"/>
  <c r="F104" i="2" s="1"/>
  <c r="F105" i="2" s="1"/>
  <c r="F106" i="2" s="1"/>
  <c r="F107" i="2" s="1"/>
  <c r="F108" i="2" s="1"/>
  <c r="F109" i="2" s="1"/>
  <c r="F110" i="2" s="1"/>
  <c r="F111" i="2" s="1"/>
  <c r="F112" i="2" s="1"/>
  <c r="F113" i="2" s="1"/>
  <c r="F114" i="2" s="1"/>
  <c r="F115" i="2" s="1"/>
  <c r="F116" i="2" s="1"/>
  <c r="F117" i="2" s="1"/>
  <c r="F118" i="2" s="1"/>
  <c r="F119" i="2" s="1"/>
  <c r="F120" i="2" s="1"/>
  <c r="F121" i="2" s="1"/>
  <c r="F122" i="2" s="1"/>
  <c r="F123" i="2" s="1"/>
  <c r="F124" i="2" s="1"/>
  <c r="F125" i="2" s="1"/>
  <c r="G126" i="2"/>
  <c r="G61" i="2"/>
  <c r="G62" i="2" s="1"/>
  <c r="G63" i="2" s="1"/>
  <c r="G64" i="2" s="1"/>
  <c r="G65" i="2" s="1"/>
  <c r="G66" i="2" s="1"/>
  <c r="G67" i="2" s="1"/>
  <c r="G68" i="2" s="1"/>
  <c r="G69" i="2" s="1"/>
  <c r="G70" i="2" s="1"/>
  <c r="G71" i="2" s="1"/>
  <c r="G72" i="2" s="1"/>
  <c r="G73" i="2" s="1"/>
  <c r="G74" i="2" s="1"/>
  <c r="G75" i="2" s="1"/>
  <c r="G76" i="2" s="1"/>
  <c r="G77" i="2" s="1"/>
  <c r="G78" i="2" s="1"/>
  <c r="G79" i="2" s="1"/>
  <c r="G80" i="2" s="1"/>
  <c r="G81" i="2" s="1"/>
  <c r="G82" i="2" s="1"/>
  <c r="G83" i="2" s="1"/>
  <c r="G84" i="2" s="1"/>
  <c r="G85" i="2" s="1"/>
  <c r="G86" i="2" s="1"/>
  <c r="G87" i="2" s="1"/>
  <c r="G88" i="2" s="1"/>
  <c r="G89" i="2" s="1"/>
  <c r="G90" i="2" s="1"/>
  <c r="G91" i="2" s="1"/>
  <c r="G92" i="2" s="1"/>
  <c r="G93" i="2" s="1"/>
  <c r="G94" i="2" s="1"/>
  <c r="G95" i="2" s="1"/>
  <c r="G96" i="2" s="1"/>
  <c r="G97" i="2" s="1"/>
  <c r="G98" i="2" s="1"/>
  <c r="G99" i="2" s="1"/>
  <c r="G100" i="2" s="1"/>
  <c r="G101" i="2" s="1"/>
  <c r="G102" i="2" s="1"/>
  <c r="G103" i="2" s="1"/>
  <c r="G104" i="2" s="1"/>
  <c r="G105" i="2" s="1"/>
  <c r="G106" i="2" s="1"/>
  <c r="G107" i="2" s="1"/>
  <c r="G108" i="2" s="1"/>
  <c r="G109" i="2" s="1"/>
  <c r="G110" i="2" s="1"/>
  <c r="G111" i="2" s="1"/>
  <c r="G112" i="2" s="1"/>
  <c r="G113" i="2" s="1"/>
  <c r="G114" i="2" s="1"/>
  <c r="G115" i="2" s="1"/>
  <c r="G116" i="2" s="1"/>
  <c r="G117" i="2" s="1"/>
  <c r="G118" i="2" s="1"/>
  <c r="G119" i="2" s="1"/>
  <c r="G120" i="2" s="1"/>
  <c r="G121" i="2" s="1"/>
  <c r="G122" i="2" s="1"/>
  <c r="G123" i="2" s="1"/>
  <c r="G124" i="2" s="1"/>
  <c r="G125" i="2" s="1"/>
  <c r="F56" i="2"/>
  <c r="F18" i="2"/>
  <c r="F19" i="2" s="1"/>
  <c r="F20" i="2" s="1"/>
  <c r="F21" i="2" s="1"/>
  <c r="F22" i="2" s="1"/>
  <c r="F23" i="2" s="1"/>
  <c r="F24" i="2" s="1"/>
  <c r="F25" i="2" s="1"/>
  <c r="F26" i="2" s="1"/>
  <c r="F27" i="2" s="1"/>
  <c r="F28" i="2" s="1"/>
  <c r="F29" i="2" s="1"/>
  <c r="F30" i="2" s="1"/>
  <c r="F31" i="2" s="1"/>
  <c r="F32" i="2" s="1"/>
  <c r="F33" i="2" s="1"/>
  <c r="F34" i="2" s="1"/>
  <c r="F35" i="2" s="1"/>
  <c r="F36" i="2" s="1"/>
  <c r="F37" i="2" s="1"/>
  <c r="F38" i="2" s="1"/>
  <c r="F39" i="2" s="1"/>
  <c r="F40" i="2" s="1"/>
  <c r="F41" i="2" s="1"/>
  <c r="F42" i="2" s="1"/>
  <c r="F43" i="2" s="1"/>
  <c r="F44" i="2" s="1"/>
  <c r="F45" i="2" s="1"/>
  <c r="F46" i="2" s="1"/>
  <c r="F47" i="2" s="1"/>
  <c r="F48" i="2" s="1"/>
  <c r="F49" i="2" s="1"/>
  <c r="F50" i="2" s="1"/>
  <c r="F51" i="2" s="1"/>
  <c r="F52" i="2" s="1"/>
  <c r="F53" i="2" s="1"/>
  <c r="F54" i="2" s="1"/>
  <c r="F55" i="2" s="1"/>
  <c r="G56" i="2"/>
  <c r="G18" i="2"/>
  <c r="G19" i="2" s="1"/>
  <c r="G20" i="2" s="1"/>
  <c r="G21" i="2" s="1"/>
  <c r="G22" i="2" s="1"/>
  <c r="G23" i="2" s="1"/>
  <c r="G24" i="2" s="1"/>
  <c r="G25" i="2" s="1"/>
  <c r="G26" i="2" s="1"/>
  <c r="G27" i="2" s="1"/>
  <c r="G28" i="2" s="1"/>
  <c r="G29" i="2" s="1"/>
  <c r="G30" i="2" s="1"/>
  <c r="G31" i="2" s="1"/>
  <c r="G32" i="2" s="1"/>
  <c r="G33" i="2" s="1"/>
  <c r="G34" i="2" s="1"/>
  <c r="G35" i="2" s="1"/>
  <c r="G36" i="2" s="1"/>
  <c r="G37" i="2" s="1"/>
  <c r="G38" i="2" s="1"/>
  <c r="G39" i="2" s="1"/>
  <c r="G40" i="2" s="1"/>
  <c r="G41" i="2" s="1"/>
  <c r="G42" i="2" s="1"/>
  <c r="G43" i="2" s="1"/>
  <c r="G44" i="2" s="1"/>
  <c r="G45" i="2" s="1"/>
  <c r="G46" i="2" s="1"/>
  <c r="G47" i="2" s="1"/>
  <c r="G48" i="2" s="1"/>
  <c r="G49" i="2" s="1"/>
  <c r="G50" i="2" s="1"/>
  <c r="G51" i="2" s="1"/>
  <c r="G52" i="2" s="1"/>
  <c r="G53" i="2" s="1"/>
  <c r="G54" i="2" s="1"/>
  <c r="G55" i="2" s="1"/>
  <c r="G200" i="2"/>
  <c r="G199" i="2"/>
  <c r="I17" i="2"/>
  <c r="I57" i="2" s="1"/>
  <c r="I60" i="2"/>
  <c r="I127" i="2" s="1"/>
  <c r="F180" i="2"/>
  <c r="F181" i="2" s="1"/>
  <c r="F182" i="2" s="1"/>
  <c r="F183" i="2" s="1"/>
  <c r="F184" i="2" s="1"/>
  <c r="F185" i="2" s="1"/>
  <c r="F186" i="2" s="1"/>
  <c r="F187" i="2" s="1"/>
  <c r="F188" i="2" s="1"/>
  <c r="F189" i="2" s="1"/>
  <c r="F190" i="2" s="1"/>
  <c r="F191" i="2" s="1"/>
  <c r="F192" i="2" s="1"/>
  <c r="F193" i="2" s="1"/>
  <c r="F194" i="2"/>
  <c r="I179" i="2"/>
  <c r="I195" i="2" s="1"/>
  <c r="F176" i="2"/>
  <c r="F156" i="2"/>
  <c r="F157" i="2" s="1"/>
  <c r="F158" i="2" s="1"/>
  <c r="F159" i="2" s="1"/>
  <c r="F160" i="2" s="1"/>
  <c r="F161" i="2" s="1"/>
  <c r="F162" i="2" s="1"/>
  <c r="F163" i="2" s="1"/>
  <c r="F164" i="2" s="1"/>
  <c r="F165" i="2" s="1"/>
  <c r="F166" i="2" s="1"/>
  <c r="F167" i="2" s="1"/>
  <c r="F168" i="2" s="1"/>
  <c r="F169" i="2" s="1"/>
  <c r="F170" i="2" s="1"/>
  <c r="F171" i="2" s="1"/>
  <c r="F172" i="2" s="1"/>
  <c r="F173" i="2" s="1"/>
  <c r="F174" i="2" s="1"/>
  <c r="F175" i="2" s="1"/>
  <c r="F151" i="2"/>
  <c r="F131" i="2"/>
  <c r="F132" i="2" s="1"/>
  <c r="F133" i="2" s="1"/>
  <c r="F134" i="2" s="1"/>
  <c r="F135" i="2" s="1"/>
  <c r="F136" i="2" s="1"/>
  <c r="F137" i="2" s="1"/>
  <c r="F138" i="2" s="1"/>
  <c r="F139" i="2" s="1"/>
  <c r="F140" i="2" s="1"/>
  <c r="F141" i="2" s="1"/>
  <c r="F142" i="2" s="1"/>
  <c r="F143" i="2" s="1"/>
  <c r="F144" i="2" s="1"/>
  <c r="F145" i="2" s="1"/>
  <c r="F146" i="2" s="1"/>
  <c r="F147" i="2" s="1"/>
  <c r="F148" i="2" s="1"/>
  <c r="F149" i="2" s="1"/>
  <c r="F150" i="2" s="1"/>
  <c r="G176" i="2"/>
  <c r="G156" i="2"/>
  <c r="G157" i="2" s="1"/>
  <c r="G158" i="2" s="1"/>
  <c r="G159" i="2" s="1"/>
  <c r="G160" i="2" s="1"/>
  <c r="G161" i="2" s="1"/>
  <c r="G162" i="2" s="1"/>
  <c r="G163" i="2" s="1"/>
  <c r="G164" i="2" s="1"/>
  <c r="G165" i="2" s="1"/>
  <c r="G166" i="2" s="1"/>
  <c r="G167" i="2" s="1"/>
  <c r="G168" i="2" s="1"/>
  <c r="G169" i="2" s="1"/>
  <c r="G170" i="2" s="1"/>
  <c r="G171" i="2" s="1"/>
  <c r="G172" i="2" s="1"/>
  <c r="G173" i="2" s="1"/>
  <c r="G174" i="2" s="1"/>
  <c r="G175" i="2" s="1"/>
  <c r="G151" i="2"/>
  <c r="G131" i="2"/>
  <c r="G132" i="2" s="1"/>
  <c r="G133" i="2" s="1"/>
  <c r="G134" i="2" s="1"/>
  <c r="G135" i="2" s="1"/>
  <c r="G136" i="2" s="1"/>
  <c r="G137" i="2" s="1"/>
  <c r="G138" i="2" s="1"/>
  <c r="G139" i="2" s="1"/>
  <c r="G140" i="2" s="1"/>
  <c r="G141" i="2" s="1"/>
  <c r="G142" i="2" s="1"/>
  <c r="G143" i="2" s="1"/>
  <c r="G144" i="2" s="1"/>
  <c r="G145" i="2" s="1"/>
  <c r="G146" i="2" s="1"/>
  <c r="G147" i="2" s="1"/>
  <c r="G148" i="2" s="1"/>
  <c r="G149" i="2" s="1"/>
  <c r="G150" i="2" s="1"/>
  <c r="F199" i="2"/>
  <c r="I198" i="2"/>
  <c r="I201" i="2" s="1"/>
  <c r="G180" i="2" l="1"/>
  <c r="G181" i="2" s="1"/>
  <c r="G182" i="2" s="1"/>
  <c r="G183" i="2" s="1"/>
  <c r="G184" i="2" s="1"/>
  <c r="G185" i="2" s="1"/>
  <c r="G186" i="2" s="1"/>
  <c r="G187" i="2" s="1"/>
  <c r="G188" i="2" s="1"/>
  <c r="G189" i="2" s="1"/>
  <c r="G190" i="2" s="1"/>
  <c r="G191" i="2" s="1"/>
  <c r="G192" i="2" s="1"/>
  <c r="G193" i="2" s="1"/>
  <c r="G194" i="2"/>
  <c r="T232" i="1" l="1"/>
  <c r="Q232" i="1"/>
  <c r="P232" i="1"/>
  <c r="O232" i="1"/>
  <c r="N232" i="1"/>
  <c r="K232" i="1"/>
  <c r="J231" i="1"/>
  <c r="G231" i="1"/>
  <c r="F231" i="1"/>
  <c r="D231" i="1"/>
  <c r="T226" i="1"/>
  <c r="Q226" i="1"/>
  <c r="P226" i="1"/>
  <c r="O226" i="1"/>
  <c r="N226" i="1"/>
  <c r="K226" i="1"/>
  <c r="T225" i="1"/>
  <c r="Q225" i="1"/>
  <c r="P225" i="1"/>
  <c r="O225" i="1"/>
  <c r="N225" i="1"/>
  <c r="K225" i="1"/>
  <c r="T224" i="1"/>
  <c r="Q224" i="1"/>
  <c r="P224" i="1"/>
  <c r="O224" i="1"/>
  <c r="N224" i="1"/>
  <c r="K224" i="1"/>
  <c r="T223" i="1"/>
  <c r="Q223" i="1"/>
  <c r="P223" i="1"/>
  <c r="O223" i="1"/>
  <c r="N223" i="1"/>
  <c r="K223" i="1"/>
  <c r="T222" i="1"/>
  <c r="Q222" i="1"/>
  <c r="P222" i="1"/>
  <c r="O222" i="1"/>
  <c r="N222" i="1"/>
  <c r="K222" i="1"/>
  <c r="T221" i="1"/>
  <c r="Q221" i="1"/>
  <c r="P221" i="1"/>
  <c r="O221" i="1"/>
  <c r="N221" i="1"/>
  <c r="K221" i="1"/>
  <c r="T220" i="1"/>
  <c r="Q220" i="1"/>
  <c r="P220" i="1"/>
  <c r="O220" i="1"/>
  <c r="N220" i="1"/>
  <c r="K220" i="1"/>
  <c r="J219" i="1"/>
  <c r="G219" i="1"/>
  <c r="F219" i="1"/>
  <c r="F220" i="1" s="1"/>
  <c r="F221" i="1" s="1"/>
  <c r="F222" i="1" s="1"/>
  <c r="F223" i="1" s="1"/>
  <c r="F224" i="1" s="1"/>
  <c r="F225" i="1" s="1"/>
  <c r="F226" i="1" s="1"/>
  <c r="D219" i="1"/>
  <c r="T214" i="1"/>
  <c r="Q214" i="1"/>
  <c r="P214" i="1"/>
  <c r="O214" i="1"/>
  <c r="N214" i="1"/>
  <c r="K214" i="1"/>
  <c r="T213" i="1"/>
  <c r="Q213" i="1"/>
  <c r="P213" i="1"/>
  <c r="O213" i="1"/>
  <c r="N213" i="1"/>
  <c r="K213" i="1"/>
  <c r="J212" i="1"/>
  <c r="G212" i="1"/>
  <c r="F212" i="1"/>
  <c r="F215" i="1" s="1"/>
  <c r="D212" i="1"/>
  <c r="T207" i="1"/>
  <c r="Q207" i="1"/>
  <c r="P207" i="1"/>
  <c r="O207" i="1"/>
  <c r="N207" i="1"/>
  <c r="K207" i="1"/>
  <c r="T206" i="1"/>
  <c r="Q206" i="1"/>
  <c r="P206" i="1"/>
  <c r="O206" i="1"/>
  <c r="N206" i="1"/>
  <c r="K206" i="1"/>
  <c r="J205" i="1"/>
  <c r="G205" i="1"/>
  <c r="I205" i="1" s="1"/>
  <c r="F205" i="1"/>
  <c r="F206" i="1" s="1"/>
  <c r="D205" i="1"/>
  <c r="T200" i="1"/>
  <c r="Q200" i="1"/>
  <c r="P200" i="1"/>
  <c r="O200" i="1"/>
  <c r="N200" i="1"/>
  <c r="K200" i="1"/>
  <c r="T199" i="1"/>
  <c r="Q199" i="1"/>
  <c r="P199" i="1"/>
  <c r="O199" i="1"/>
  <c r="N199" i="1"/>
  <c r="K199" i="1"/>
  <c r="J198" i="1"/>
  <c r="G198" i="1"/>
  <c r="I198" i="1" s="1"/>
  <c r="F198" i="1"/>
  <c r="F199" i="1" s="1"/>
  <c r="F200" i="1" s="1"/>
  <c r="D198" i="1"/>
  <c r="T193" i="1"/>
  <c r="Q193" i="1"/>
  <c r="P193" i="1"/>
  <c r="O193" i="1"/>
  <c r="N193" i="1"/>
  <c r="K193" i="1"/>
  <c r="T192" i="1"/>
  <c r="Q192" i="1"/>
  <c r="P192" i="1"/>
  <c r="O192" i="1"/>
  <c r="N192" i="1"/>
  <c r="K192" i="1"/>
  <c r="T191" i="1"/>
  <c r="Q191" i="1"/>
  <c r="P191" i="1"/>
  <c r="O191" i="1"/>
  <c r="N191" i="1"/>
  <c r="K191" i="1"/>
  <c r="T190" i="1"/>
  <c r="Q190" i="1"/>
  <c r="P190" i="1"/>
  <c r="O190" i="1"/>
  <c r="N190" i="1"/>
  <c r="K190" i="1"/>
  <c r="T189" i="1"/>
  <c r="Q189" i="1"/>
  <c r="P189" i="1"/>
  <c r="O189" i="1"/>
  <c r="N189" i="1"/>
  <c r="K189" i="1"/>
  <c r="T188" i="1"/>
  <c r="Q188" i="1"/>
  <c r="P188" i="1"/>
  <c r="O188" i="1"/>
  <c r="N188" i="1"/>
  <c r="K188" i="1"/>
  <c r="T187" i="1"/>
  <c r="Q187" i="1"/>
  <c r="P187" i="1"/>
  <c r="O187" i="1"/>
  <c r="N187" i="1"/>
  <c r="K187" i="1"/>
  <c r="T186" i="1"/>
  <c r="Q186" i="1"/>
  <c r="P186" i="1"/>
  <c r="O186" i="1"/>
  <c r="N186" i="1"/>
  <c r="K186" i="1"/>
  <c r="T185" i="1"/>
  <c r="Q185" i="1"/>
  <c r="P185" i="1"/>
  <c r="O185" i="1"/>
  <c r="N185" i="1"/>
  <c r="K185" i="1"/>
  <c r="T184" i="1"/>
  <c r="Q184" i="1"/>
  <c r="P184" i="1"/>
  <c r="O184" i="1"/>
  <c r="N184" i="1"/>
  <c r="K184" i="1"/>
  <c r="T183" i="1"/>
  <c r="Q183" i="1"/>
  <c r="P183" i="1"/>
  <c r="O183" i="1"/>
  <c r="N183" i="1"/>
  <c r="K183" i="1"/>
  <c r="T182" i="1"/>
  <c r="Q182" i="1"/>
  <c r="P182" i="1"/>
  <c r="O182" i="1"/>
  <c r="N182" i="1"/>
  <c r="K182" i="1"/>
  <c r="T181" i="1"/>
  <c r="Q181" i="1"/>
  <c r="P181" i="1"/>
  <c r="O181" i="1"/>
  <c r="N181" i="1"/>
  <c r="K181" i="1"/>
  <c r="J180" i="1"/>
  <c r="G180" i="1"/>
  <c r="G194" i="1" s="1"/>
  <c r="F180" i="1"/>
  <c r="D180" i="1"/>
  <c r="T175" i="1"/>
  <c r="Q175" i="1"/>
  <c r="P175" i="1"/>
  <c r="O175" i="1"/>
  <c r="N175" i="1"/>
  <c r="K175" i="1"/>
  <c r="T174" i="1"/>
  <c r="Q174" i="1"/>
  <c r="P174" i="1"/>
  <c r="O174" i="1"/>
  <c r="N174" i="1"/>
  <c r="K174" i="1"/>
  <c r="T173" i="1"/>
  <c r="Q173" i="1"/>
  <c r="P173" i="1"/>
  <c r="O173" i="1"/>
  <c r="N173" i="1"/>
  <c r="K173" i="1"/>
  <c r="T172" i="1"/>
  <c r="Q172" i="1"/>
  <c r="P172" i="1"/>
  <c r="O172" i="1"/>
  <c r="N172" i="1"/>
  <c r="K172" i="1"/>
  <c r="T171" i="1"/>
  <c r="Q171" i="1"/>
  <c r="P171" i="1"/>
  <c r="O171" i="1"/>
  <c r="N171" i="1"/>
  <c r="K171" i="1"/>
  <c r="T170" i="1"/>
  <c r="Q170" i="1"/>
  <c r="P170" i="1"/>
  <c r="O170" i="1"/>
  <c r="N170" i="1"/>
  <c r="K170" i="1"/>
  <c r="T169" i="1"/>
  <c r="Q169" i="1"/>
  <c r="P169" i="1"/>
  <c r="O169" i="1"/>
  <c r="N169" i="1"/>
  <c r="K169" i="1"/>
  <c r="T168" i="1"/>
  <c r="Q168" i="1"/>
  <c r="P168" i="1"/>
  <c r="O168" i="1"/>
  <c r="N168" i="1"/>
  <c r="K168" i="1"/>
  <c r="T167" i="1"/>
  <c r="Q167" i="1"/>
  <c r="P167" i="1"/>
  <c r="O167" i="1"/>
  <c r="N167" i="1"/>
  <c r="K167" i="1"/>
  <c r="T166" i="1"/>
  <c r="Q166" i="1"/>
  <c r="P166" i="1"/>
  <c r="O166" i="1"/>
  <c r="N166" i="1"/>
  <c r="K166" i="1"/>
  <c r="T165" i="1"/>
  <c r="Q165" i="1"/>
  <c r="P165" i="1"/>
  <c r="O165" i="1"/>
  <c r="N165" i="1"/>
  <c r="K165" i="1"/>
  <c r="T164" i="1"/>
  <c r="Q164" i="1"/>
  <c r="P164" i="1"/>
  <c r="O164" i="1"/>
  <c r="N164" i="1"/>
  <c r="K164" i="1"/>
  <c r="T163" i="1"/>
  <c r="Q163" i="1"/>
  <c r="P163" i="1"/>
  <c r="O163" i="1"/>
  <c r="N163" i="1"/>
  <c r="K163" i="1"/>
  <c r="J162" i="1"/>
  <c r="G162" i="1"/>
  <c r="I162" i="1" s="1"/>
  <c r="F162" i="1"/>
  <c r="F163" i="1" s="1"/>
  <c r="F164" i="1" s="1"/>
  <c r="F165" i="1" s="1"/>
  <c r="F166" i="1" s="1"/>
  <c r="F167" i="1" s="1"/>
  <c r="F168" i="1" s="1"/>
  <c r="F169" i="1" s="1"/>
  <c r="F170" i="1" s="1"/>
  <c r="F171" i="1" s="1"/>
  <c r="F172" i="1" s="1"/>
  <c r="F173" i="1" s="1"/>
  <c r="F174" i="1" s="1"/>
  <c r="F175" i="1" s="1"/>
  <c r="D162" i="1"/>
  <c r="T157" i="1"/>
  <c r="Q157" i="1"/>
  <c r="P157" i="1"/>
  <c r="O157" i="1"/>
  <c r="N157" i="1"/>
  <c r="K157" i="1"/>
  <c r="T156" i="1"/>
  <c r="Q156" i="1"/>
  <c r="P156" i="1"/>
  <c r="O156" i="1"/>
  <c r="N156" i="1"/>
  <c r="K156" i="1"/>
  <c r="T155" i="1"/>
  <c r="Q155" i="1"/>
  <c r="P155" i="1"/>
  <c r="O155" i="1"/>
  <c r="N155" i="1"/>
  <c r="K155" i="1"/>
  <c r="T154" i="1"/>
  <c r="Q154" i="1"/>
  <c r="P154" i="1"/>
  <c r="O154" i="1"/>
  <c r="N154" i="1"/>
  <c r="K154" i="1"/>
  <c r="T153" i="1"/>
  <c r="Q153" i="1"/>
  <c r="P153" i="1"/>
  <c r="O153" i="1"/>
  <c r="N153" i="1"/>
  <c r="K153" i="1"/>
  <c r="T152" i="1"/>
  <c r="Q152" i="1"/>
  <c r="P152" i="1"/>
  <c r="O152" i="1"/>
  <c r="N152" i="1"/>
  <c r="K152" i="1"/>
  <c r="T151" i="1"/>
  <c r="Q151" i="1"/>
  <c r="P151" i="1"/>
  <c r="O151" i="1"/>
  <c r="N151" i="1"/>
  <c r="K151" i="1"/>
  <c r="T150" i="1"/>
  <c r="Q150" i="1"/>
  <c r="P150" i="1"/>
  <c r="O150" i="1"/>
  <c r="N150" i="1"/>
  <c r="K150" i="1"/>
  <c r="T149" i="1"/>
  <c r="Q149" i="1"/>
  <c r="P149" i="1"/>
  <c r="O149" i="1"/>
  <c r="N149" i="1"/>
  <c r="K149" i="1"/>
  <c r="T148" i="1"/>
  <c r="Q148" i="1"/>
  <c r="P148" i="1"/>
  <c r="O148" i="1"/>
  <c r="N148" i="1"/>
  <c r="K148" i="1"/>
  <c r="J147" i="1"/>
  <c r="G147" i="1"/>
  <c r="I147" i="1" s="1"/>
  <c r="F147" i="1"/>
  <c r="F148" i="1" s="1"/>
  <c r="F149" i="1" s="1"/>
  <c r="F150" i="1" s="1"/>
  <c r="F151" i="1" s="1"/>
  <c r="F152" i="1" s="1"/>
  <c r="F153" i="1" s="1"/>
  <c r="F154" i="1" s="1"/>
  <c r="F155" i="1" s="1"/>
  <c r="F156" i="1" s="1"/>
  <c r="F157" i="1" s="1"/>
  <c r="D147" i="1"/>
  <c r="T142" i="1"/>
  <c r="Q142" i="1"/>
  <c r="P142" i="1"/>
  <c r="O142" i="1"/>
  <c r="N142" i="1"/>
  <c r="K142" i="1"/>
  <c r="T141" i="1"/>
  <c r="Q141" i="1"/>
  <c r="P141" i="1"/>
  <c r="O141" i="1"/>
  <c r="N141" i="1"/>
  <c r="K141" i="1"/>
  <c r="T140" i="1"/>
  <c r="Q140" i="1"/>
  <c r="P140" i="1"/>
  <c r="O140" i="1"/>
  <c r="N140" i="1"/>
  <c r="K140" i="1"/>
  <c r="T139" i="1"/>
  <c r="Q139" i="1"/>
  <c r="P139" i="1"/>
  <c r="O139" i="1"/>
  <c r="N139" i="1"/>
  <c r="K139" i="1"/>
  <c r="T138" i="1"/>
  <c r="Q138" i="1"/>
  <c r="P138" i="1"/>
  <c r="O138" i="1"/>
  <c r="N138" i="1"/>
  <c r="K138" i="1"/>
  <c r="J137" i="1"/>
  <c r="G137" i="1"/>
  <c r="F137" i="1"/>
  <c r="D137" i="1"/>
  <c r="T132" i="1"/>
  <c r="Q132" i="1"/>
  <c r="P132" i="1"/>
  <c r="O132" i="1"/>
  <c r="N132" i="1"/>
  <c r="K132" i="1"/>
  <c r="T131" i="1"/>
  <c r="Q131" i="1"/>
  <c r="P131" i="1"/>
  <c r="O131" i="1"/>
  <c r="N131" i="1"/>
  <c r="K131" i="1"/>
  <c r="T130" i="1"/>
  <c r="Q130" i="1"/>
  <c r="P130" i="1"/>
  <c r="O130" i="1"/>
  <c r="N130" i="1"/>
  <c r="K130" i="1"/>
  <c r="T129" i="1"/>
  <c r="Q129" i="1"/>
  <c r="P129" i="1"/>
  <c r="O129" i="1"/>
  <c r="N129" i="1"/>
  <c r="K129" i="1"/>
  <c r="T128" i="1"/>
  <c r="Q128" i="1"/>
  <c r="P128" i="1"/>
  <c r="O128" i="1"/>
  <c r="N128" i="1"/>
  <c r="K128" i="1"/>
  <c r="T127" i="1"/>
  <c r="Q127" i="1"/>
  <c r="P127" i="1"/>
  <c r="O127" i="1"/>
  <c r="N127" i="1"/>
  <c r="K127" i="1"/>
  <c r="T126" i="1"/>
  <c r="Q126" i="1"/>
  <c r="P126" i="1"/>
  <c r="O126" i="1"/>
  <c r="N126" i="1"/>
  <c r="K126" i="1"/>
  <c r="T125" i="1"/>
  <c r="Q125" i="1"/>
  <c r="P125" i="1"/>
  <c r="O125" i="1"/>
  <c r="N125" i="1"/>
  <c r="K125" i="1"/>
  <c r="T124" i="1"/>
  <c r="Q124" i="1"/>
  <c r="P124" i="1"/>
  <c r="O124" i="1"/>
  <c r="N124" i="1"/>
  <c r="K124" i="1"/>
  <c r="T123" i="1"/>
  <c r="Q123" i="1"/>
  <c r="P123" i="1"/>
  <c r="O123" i="1"/>
  <c r="N123" i="1"/>
  <c r="K123" i="1"/>
  <c r="T122" i="1"/>
  <c r="Q122" i="1"/>
  <c r="P122" i="1"/>
  <c r="O122" i="1"/>
  <c r="N122" i="1"/>
  <c r="K122" i="1"/>
  <c r="T121" i="1"/>
  <c r="Q121" i="1"/>
  <c r="P121" i="1"/>
  <c r="O121" i="1"/>
  <c r="N121" i="1"/>
  <c r="K121" i="1"/>
  <c r="T120" i="1"/>
  <c r="Q120" i="1"/>
  <c r="P120" i="1"/>
  <c r="O120" i="1"/>
  <c r="N120" i="1"/>
  <c r="K120" i="1"/>
  <c r="T119" i="1"/>
  <c r="Q119" i="1"/>
  <c r="P119" i="1"/>
  <c r="O119" i="1"/>
  <c r="N119" i="1"/>
  <c r="K119" i="1"/>
  <c r="T118" i="1"/>
  <c r="Q118" i="1"/>
  <c r="P118" i="1"/>
  <c r="O118" i="1"/>
  <c r="N118" i="1"/>
  <c r="K118" i="1"/>
  <c r="T117" i="1"/>
  <c r="Q117" i="1"/>
  <c r="P117" i="1"/>
  <c r="O117" i="1"/>
  <c r="N117" i="1"/>
  <c r="K117" i="1"/>
  <c r="T116" i="1"/>
  <c r="Q116" i="1"/>
  <c r="P116" i="1"/>
  <c r="O116" i="1"/>
  <c r="N116" i="1"/>
  <c r="K116" i="1"/>
  <c r="T115" i="1"/>
  <c r="Q115" i="1"/>
  <c r="P115" i="1"/>
  <c r="O115" i="1"/>
  <c r="N115" i="1"/>
  <c r="K115" i="1"/>
  <c r="T114" i="1"/>
  <c r="Q114" i="1"/>
  <c r="P114" i="1"/>
  <c r="O114" i="1"/>
  <c r="N114" i="1"/>
  <c r="K114" i="1"/>
  <c r="T113" i="1"/>
  <c r="Q113" i="1"/>
  <c r="P113" i="1"/>
  <c r="O113" i="1"/>
  <c r="N113" i="1"/>
  <c r="K113" i="1"/>
  <c r="T112" i="1"/>
  <c r="Q112" i="1"/>
  <c r="P112" i="1"/>
  <c r="O112" i="1"/>
  <c r="N112" i="1"/>
  <c r="K112" i="1"/>
  <c r="T111" i="1"/>
  <c r="Q111" i="1"/>
  <c r="P111" i="1"/>
  <c r="O111" i="1"/>
  <c r="N111" i="1"/>
  <c r="K111" i="1"/>
  <c r="T110" i="1"/>
  <c r="Q110" i="1"/>
  <c r="P110" i="1"/>
  <c r="O110" i="1"/>
  <c r="N110" i="1"/>
  <c r="K110" i="1"/>
  <c r="T109" i="1"/>
  <c r="Q109" i="1"/>
  <c r="P109" i="1"/>
  <c r="O109" i="1"/>
  <c r="N109" i="1"/>
  <c r="K109" i="1"/>
  <c r="T108" i="1"/>
  <c r="Q108" i="1"/>
  <c r="P108" i="1"/>
  <c r="O108" i="1"/>
  <c r="N108" i="1"/>
  <c r="K108" i="1"/>
  <c r="T107" i="1"/>
  <c r="Q107" i="1"/>
  <c r="P107" i="1"/>
  <c r="O107" i="1"/>
  <c r="N107" i="1"/>
  <c r="K107" i="1"/>
  <c r="T106" i="1"/>
  <c r="Q106" i="1"/>
  <c r="P106" i="1"/>
  <c r="O106" i="1"/>
  <c r="N106" i="1"/>
  <c r="K106" i="1"/>
  <c r="T105" i="1"/>
  <c r="Q105" i="1"/>
  <c r="P105" i="1"/>
  <c r="O105" i="1"/>
  <c r="N105" i="1"/>
  <c r="K105" i="1"/>
  <c r="T104" i="1"/>
  <c r="Q104" i="1"/>
  <c r="P104" i="1"/>
  <c r="O104" i="1"/>
  <c r="N104" i="1"/>
  <c r="K104" i="1"/>
  <c r="T103" i="1"/>
  <c r="Q103" i="1"/>
  <c r="P103" i="1"/>
  <c r="O103" i="1"/>
  <c r="N103" i="1"/>
  <c r="K103" i="1"/>
  <c r="T102" i="1"/>
  <c r="Q102" i="1"/>
  <c r="P102" i="1"/>
  <c r="O102" i="1"/>
  <c r="N102" i="1"/>
  <c r="K102" i="1"/>
  <c r="T101" i="1"/>
  <c r="Q101" i="1"/>
  <c r="P101" i="1"/>
  <c r="O101" i="1"/>
  <c r="N101" i="1"/>
  <c r="K101" i="1"/>
  <c r="T100" i="1"/>
  <c r="Q100" i="1"/>
  <c r="P100" i="1"/>
  <c r="O100" i="1"/>
  <c r="N100" i="1"/>
  <c r="K100" i="1"/>
  <c r="T99" i="1"/>
  <c r="Q99" i="1"/>
  <c r="P99" i="1"/>
  <c r="O99" i="1"/>
  <c r="N99" i="1"/>
  <c r="K99" i="1"/>
  <c r="T98" i="1"/>
  <c r="Q98" i="1"/>
  <c r="P98" i="1"/>
  <c r="O98" i="1"/>
  <c r="N98" i="1"/>
  <c r="K98" i="1"/>
  <c r="T97" i="1"/>
  <c r="Q97" i="1"/>
  <c r="P97" i="1"/>
  <c r="O97" i="1"/>
  <c r="N97" i="1"/>
  <c r="K97" i="1"/>
  <c r="T96" i="1"/>
  <c r="Q96" i="1"/>
  <c r="P96" i="1"/>
  <c r="O96" i="1"/>
  <c r="N96" i="1"/>
  <c r="K96" i="1"/>
  <c r="T95" i="1"/>
  <c r="Q95" i="1"/>
  <c r="P95" i="1"/>
  <c r="O95" i="1"/>
  <c r="N95" i="1"/>
  <c r="K95" i="1"/>
  <c r="T94" i="1"/>
  <c r="Q94" i="1"/>
  <c r="P94" i="1"/>
  <c r="O94" i="1"/>
  <c r="N94" i="1"/>
  <c r="K94" i="1"/>
  <c r="T93" i="1"/>
  <c r="Q93" i="1"/>
  <c r="P93" i="1"/>
  <c r="O93" i="1"/>
  <c r="N93" i="1"/>
  <c r="K93" i="1"/>
  <c r="T92" i="1"/>
  <c r="Q92" i="1"/>
  <c r="P92" i="1"/>
  <c r="O92" i="1"/>
  <c r="N92" i="1"/>
  <c r="K92" i="1"/>
  <c r="T91" i="1"/>
  <c r="Q91" i="1"/>
  <c r="P91" i="1"/>
  <c r="O91" i="1"/>
  <c r="N91" i="1"/>
  <c r="K91" i="1"/>
  <c r="T90" i="1"/>
  <c r="Q90" i="1"/>
  <c r="P90" i="1"/>
  <c r="O90" i="1"/>
  <c r="N90" i="1"/>
  <c r="K90" i="1"/>
  <c r="T89" i="1"/>
  <c r="Q89" i="1"/>
  <c r="P89" i="1"/>
  <c r="O89" i="1"/>
  <c r="N89" i="1"/>
  <c r="K89" i="1"/>
  <c r="T88" i="1"/>
  <c r="Q88" i="1"/>
  <c r="P88" i="1"/>
  <c r="O88" i="1"/>
  <c r="N88" i="1"/>
  <c r="K88" i="1"/>
  <c r="T87" i="1"/>
  <c r="Q87" i="1"/>
  <c r="P87" i="1"/>
  <c r="O87" i="1"/>
  <c r="N87" i="1"/>
  <c r="K87" i="1"/>
  <c r="T86" i="1"/>
  <c r="Q86" i="1"/>
  <c r="P86" i="1"/>
  <c r="O86" i="1"/>
  <c r="N86" i="1"/>
  <c r="K86" i="1"/>
  <c r="T85" i="1"/>
  <c r="Q85" i="1"/>
  <c r="P85" i="1"/>
  <c r="O85" i="1"/>
  <c r="N85" i="1"/>
  <c r="K85" i="1"/>
  <c r="T84" i="1"/>
  <c r="Q84" i="1"/>
  <c r="P84" i="1"/>
  <c r="O84" i="1"/>
  <c r="N84" i="1"/>
  <c r="K84" i="1"/>
  <c r="T83" i="1"/>
  <c r="Q83" i="1"/>
  <c r="P83" i="1"/>
  <c r="O83" i="1"/>
  <c r="N83" i="1"/>
  <c r="K83" i="1"/>
  <c r="T82" i="1"/>
  <c r="Q82" i="1"/>
  <c r="P82" i="1"/>
  <c r="O82" i="1"/>
  <c r="N82" i="1"/>
  <c r="K82" i="1"/>
  <c r="T81" i="1"/>
  <c r="Q81" i="1"/>
  <c r="P81" i="1"/>
  <c r="O81" i="1"/>
  <c r="N81" i="1"/>
  <c r="K81" i="1"/>
  <c r="T80" i="1"/>
  <c r="Q80" i="1"/>
  <c r="P80" i="1"/>
  <c r="O80" i="1"/>
  <c r="N80" i="1"/>
  <c r="K80" i="1"/>
  <c r="T79" i="1"/>
  <c r="Q79" i="1"/>
  <c r="P79" i="1"/>
  <c r="O79" i="1"/>
  <c r="N79" i="1"/>
  <c r="K79" i="1"/>
  <c r="T78" i="1"/>
  <c r="Q78" i="1"/>
  <c r="P78" i="1"/>
  <c r="O78" i="1"/>
  <c r="N78" i="1"/>
  <c r="K78" i="1"/>
  <c r="T77" i="1"/>
  <c r="Q77" i="1"/>
  <c r="P77" i="1"/>
  <c r="O77" i="1"/>
  <c r="N77" i="1"/>
  <c r="K77" i="1"/>
  <c r="T76" i="1"/>
  <c r="Q76" i="1"/>
  <c r="P76" i="1"/>
  <c r="O76" i="1"/>
  <c r="N76" i="1"/>
  <c r="K76" i="1"/>
  <c r="T75" i="1"/>
  <c r="Q75" i="1"/>
  <c r="P75" i="1"/>
  <c r="O75" i="1"/>
  <c r="N75" i="1"/>
  <c r="K75" i="1"/>
  <c r="T74" i="1"/>
  <c r="Q74" i="1"/>
  <c r="P74" i="1"/>
  <c r="O74" i="1"/>
  <c r="N74" i="1"/>
  <c r="K74" i="1"/>
  <c r="J73" i="1"/>
  <c r="G73" i="1"/>
  <c r="F73" i="1"/>
  <c r="F133" i="1" s="1"/>
  <c r="D73" i="1"/>
  <c r="T68" i="1"/>
  <c r="Q68" i="1"/>
  <c r="P68" i="1"/>
  <c r="O68" i="1"/>
  <c r="N68" i="1"/>
  <c r="K68" i="1"/>
  <c r="T67" i="1"/>
  <c r="Q67" i="1"/>
  <c r="P67" i="1"/>
  <c r="O67" i="1"/>
  <c r="N67" i="1"/>
  <c r="K67" i="1"/>
  <c r="T66" i="1"/>
  <c r="Q66" i="1"/>
  <c r="P66" i="1"/>
  <c r="O66" i="1"/>
  <c r="N66" i="1"/>
  <c r="K66" i="1"/>
  <c r="T65" i="1"/>
  <c r="Q65" i="1"/>
  <c r="P65" i="1"/>
  <c r="O65" i="1"/>
  <c r="N65" i="1"/>
  <c r="K65" i="1"/>
  <c r="T64" i="1"/>
  <c r="Q64" i="1"/>
  <c r="P64" i="1"/>
  <c r="O64" i="1"/>
  <c r="N64" i="1"/>
  <c r="K64" i="1"/>
  <c r="J63" i="1"/>
  <c r="G63" i="1"/>
  <c r="F63" i="1"/>
  <c r="D63" i="1"/>
  <c r="T58" i="1"/>
  <c r="Q58" i="1"/>
  <c r="P58" i="1"/>
  <c r="O58" i="1"/>
  <c r="N58" i="1"/>
  <c r="K58" i="1"/>
  <c r="T57" i="1"/>
  <c r="Q57" i="1"/>
  <c r="P57" i="1"/>
  <c r="O57" i="1"/>
  <c r="N57" i="1"/>
  <c r="K57" i="1"/>
  <c r="T56" i="1"/>
  <c r="Q56" i="1"/>
  <c r="P56" i="1"/>
  <c r="O56" i="1"/>
  <c r="N56" i="1"/>
  <c r="K56" i="1"/>
  <c r="J55" i="1"/>
  <c r="G55" i="1"/>
  <c r="G59" i="1" s="1"/>
  <c r="F55" i="1"/>
  <c r="F56" i="1" s="1"/>
  <c r="F57" i="1" s="1"/>
  <c r="F58" i="1" s="1"/>
  <c r="D55" i="1"/>
  <c r="T50" i="1"/>
  <c r="Q50" i="1"/>
  <c r="P50" i="1"/>
  <c r="O50" i="1"/>
  <c r="N50" i="1"/>
  <c r="K50" i="1"/>
  <c r="T49" i="1"/>
  <c r="Q49" i="1"/>
  <c r="P49" i="1"/>
  <c r="O49" i="1"/>
  <c r="N49" i="1"/>
  <c r="K49" i="1"/>
  <c r="T48" i="1"/>
  <c r="Q48" i="1"/>
  <c r="P48" i="1"/>
  <c r="O48" i="1"/>
  <c r="N48" i="1"/>
  <c r="K48" i="1"/>
  <c r="T47" i="1"/>
  <c r="Q47" i="1"/>
  <c r="P47" i="1"/>
  <c r="O47" i="1"/>
  <c r="N47" i="1"/>
  <c r="K47" i="1"/>
  <c r="T46" i="1"/>
  <c r="Q46" i="1"/>
  <c r="P46" i="1"/>
  <c r="O46" i="1"/>
  <c r="N46" i="1"/>
  <c r="K46" i="1"/>
  <c r="T45" i="1"/>
  <c r="Q45" i="1"/>
  <c r="P45" i="1"/>
  <c r="O45" i="1"/>
  <c r="N45" i="1"/>
  <c r="K45" i="1"/>
  <c r="T44" i="1"/>
  <c r="Q44" i="1"/>
  <c r="P44" i="1"/>
  <c r="O44" i="1"/>
  <c r="N44" i="1"/>
  <c r="K44" i="1"/>
  <c r="T43" i="1"/>
  <c r="Q43" i="1"/>
  <c r="P43" i="1"/>
  <c r="O43" i="1"/>
  <c r="N43" i="1"/>
  <c r="K43" i="1"/>
  <c r="T42" i="1"/>
  <c r="Q42" i="1"/>
  <c r="P42" i="1"/>
  <c r="O42" i="1"/>
  <c r="N42" i="1"/>
  <c r="K42" i="1"/>
  <c r="T41" i="1"/>
  <c r="Q41" i="1"/>
  <c r="P41" i="1"/>
  <c r="O41" i="1"/>
  <c r="N41" i="1"/>
  <c r="K41" i="1"/>
  <c r="T40" i="1"/>
  <c r="Q40" i="1"/>
  <c r="P40" i="1"/>
  <c r="O40" i="1"/>
  <c r="N40" i="1"/>
  <c r="K40" i="1"/>
  <c r="T39" i="1"/>
  <c r="Q39" i="1"/>
  <c r="P39" i="1"/>
  <c r="O39" i="1"/>
  <c r="N39" i="1"/>
  <c r="K39" i="1"/>
  <c r="T38" i="1"/>
  <c r="Q38" i="1"/>
  <c r="P38" i="1"/>
  <c r="O38" i="1"/>
  <c r="N38" i="1"/>
  <c r="K38" i="1"/>
  <c r="T37" i="1"/>
  <c r="Q37" i="1"/>
  <c r="P37" i="1"/>
  <c r="O37" i="1"/>
  <c r="N37" i="1"/>
  <c r="K37" i="1"/>
  <c r="T36" i="1"/>
  <c r="Q36" i="1"/>
  <c r="P36" i="1"/>
  <c r="O36" i="1"/>
  <c r="N36" i="1"/>
  <c r="K36" i="1"/>
  <c r="T35" i="1"/>
  <c r="Q35" i="1"/>
  <c r="P35" i="1"/>
  <c r="O35" i="1"/>
  <c r="N35" i="1"/>
  <c r="K35" i="1"/>
  <c r="T34" i="1"/>
  <c r="Q34" i="1"/>
  <c r="P34" i="1"/>
  <c r="O34" i="1"/>
  <c r="N34" i="1"/>
  <c r="K34" i="1"/>
  <c r="T33" i="1"/>
  <c r="Q33" i="1"/>
  <c r="P33" i="1"/>
  <c r="O33" i="1"/>
  <c r="N33" i="1"/>
  <c r="K33" i="1"/>
  <c r="T32" i="1"/>
  <c r="Q32" i="1"/>
  <c r="P32" i="1"/>
  <c r="O32" i="1"/>
  <c r="N32" i="1"/>
  <c r="K32" i="1"/>
  <c r="T31" i="1"/>
  <c r="Q31" i="1"/>
  <c r="P31" i="1"/>
  <c r="O31" i="1"/>
  <c r="N31" i="1"/>
  <c r="K31" i="1"/>
  <c r="T30" i="1"/>
  <c r="Q30" i="1"/>
  <c r="P30" i="1"/>
  <c r="O30" i="1"/>
  <c r="N30" i="1"/>
  <c r="K30" i="1"/>
  <c r="T29" i="1"/>
  <c r="Q29" i="1"/>
  <c r="P29" i="1"/>
  <c r="O29" i="1"/>
  <c r="N29" i="1"/>
  <c r="K29" i="1"/>
  <c r="T28" i="1"/>
  <c r="Q28" i="1"/>
  <c r="P28" i="1"/>
  <c r="O28" i="1"/>
  <c r="N28" i="1"/>
  <c r="K28" i="1"/>
  <c r="G51" i="1"/>
  <c r="J27" i="1"/>
  <c r="G27" i="1"/>
  <c r="I27" i="1" s="1"/>
  <c r="F27" i="1"/>
  <c r="F51" i="1" s="1"/>
  <c r="D27" i="1"/>
  <c r="T22" i="1"/>
  <c r="Q22" i="1"/>
  <c r="P22" i="1"/>
  <c r="O22" i="1"/>
  <c r="N22" i="1"/>
  <c r="K22" i="1"/>
  <c r="T21" i="1"/>
  <c r="Q21" i="1"/>
  <c r="P21" i="1"/>
  <c r="O21" i="1"/>
  <c r="N21" i="1"/>
  <c r="K21" i="1"/>
  <c r="T20" i="1"/>
  <c r="Q20" i="1"/>
  <c r="P20" i="1"/>
  <c r="O20" i="1"/>
  <c r="N20" i="1"/>
  <c r="K20" i="1"/>
  <c r="T19" i="1"/>
  <c r="Q19" i="1"/>
  <c r="P19" i="1"/>
  <c r="O19" i="1"/>
  <c r="N19" i="1"/>
  <c r="K19" i="1"/>
  <c r="T18" i="1"/>
  <c r="Q18" i="1"/>
  <c r="P18" i="1"/>
  <c r="O18" i="1"/>
  <c r="N18" i="1"/>
  <c r="K18" i="1"/>
  <c r="T17" i="1"/>
  <c r="Q17" i="1"/>
  <c r="P17" i="1"/>
  <c r="O17" i="1"/>
  <c r="N17" i="1"/>
  <c r="K17" i="1"/>
  <c r="G23" i="1"/>
  <c r="F17" i="1"/>
  <c r="F18" i="1" s="1"/>
  <c r="F19" i="1" s="1"/>
  <c r="F20" i="1" s="1"/>
  <c r="F21" i="1" s="1"/>
  <c r="F22" i="1" s="1"/>
  <c r="J16" i="1"/>
  <c r="G16" i="1"/>
  <c r="I16" i="1" s="1"/>
  <c r="F16" i="1"/>
  <c r="D16" i="1"/>
  <c r="J11" i="1"/>
  <c r="I11" i="1"/>
  <c r="J10" i="1"/>
  <c r="I10" i="1"/>
  <c r="B10" i="1"/>
  <c r="J9" i="1"/>
  <c r="I9" i="1"/>
  <c r="C9" i="1"/>
  <c r="C7" i="1"/>
  <c r="C5" i="1"/>
  <c r="D5" i="1" s="1"/>
  <c r="C4" i="1"/>
  <c r="T209" i="1" l="1"/>
  <c r="T216" i="1"/>
  <c r="I202" i="1"/>
  <c r="I52" i="1"/>
  <c r="F201" i="1"/>
  <c r="T159" i="1"/>
  <c r="I159" i="1"/>
  <c r="G201" i="1"/>
  <c r="T24" i="1"/>
  <c r="T237" i="1" s="1"/>
  <c r="I24" i="1"/>
  <c r="I209" i="1"/>
  <c r="G206" i="1"/>
  <c r="G207" i="1" s="1"/>
  <c r="F181" i="1"/>
  <c r="F182" i="1" s="1"/>
  <c r="F183" i="1" s="1"/>
  <c r="F184" i="1" s="1"/>
  <c r="F185" i="1" s="1"/>
  <c r="F186" i="1" s="1"/>
  <c r="F187" i="1" s="1"/>
  <c r="F188" i="1" s="1"/>
  <c r="F189" i="1" s="1"/>
  <c r="F190" i="1" s="1"/>
  <c r="F191" i="1" s="1"/>
  <c r="F192" i="1" s="1"/>
  <c r="F193" i="1" s="1"/>
  <c r="F194" i="1"/>
  <c r="T144" i="1"/>
  <c r="I231" i="1"/>
  <c r="I234" i="1" s="1"/>
  <c r="T134" i="1"/>
  <c r="I219" i="1"/>
  <c r="I228" i="1" s="1"/>
  <c r="T52" i="1"/>
  <c r="T195" i="1"/>
  <c r="I212" i="1"/>
  <c r="I216" i="1" s="1"/>
  <c r="T177" i="1"/>
  <c r="G181" i="1"/>
  <c r="G182" i="1" s="1"/>
  <c r="G183" i="1" s="1"/>
  <c r="G184" i="1" s="1"/>
  <c r="G185" i="1" s="1"/>
  <c r="G186" i="1" s="1"/>
  <c r="G187" i="1" s="1"/>
  <c r="G188" i="1" s="1"/>
  <c r="G189" i="1" s="1"/>
  <c r="G190" i="1" s="1"/>
  <c r="G191" i="1" s="1"/>
  <c r="G192" i="1" s="1"/>
  <c r="G193" i="1" s="1"/>
  <c r="I55" i="1"/>
  <c r="I60" i="1" s="1"/>
  <c r="T234" i="1"/>
  <c r="I73" i="1"/>
  <c r="I134" i="1" s="1"/>
  <c r="I180" i="1"/>
  <c r="I195" i="1" s="1"/>
  <c r="T70" i="1"/>
  <c r="I177" i="1"/>
  <c r="F64" i="1"/>
  <c r="F65" i="1" s="1"/>
  <c r="F66" i="1" s="1"/>
  <c r="F67" i="1" s="1"/>
  <c r="F68" i="1" s="1"/>
  <c r="F69" i="1"/>
  <c r="G143" i="1"/>
  <c r="G138" i="1"/>
  <c r="G139" i="1" s="1"/>
  <c r="G140" i="1" s="1"/>
  <c r="G141" i="1" s="1"/>
  <c r="G142" i="1" s="1"/>
  <c r="G64" i="1"/>
  <c r="G65" i="1" s="1"/>
  <c r="G66" i="1" s="1"/>
  <c r="G67" i="1" s="1"/>
  <c r="G68" i="1" s="1"/>
  <c r="G69" i="1"/>
  <c r="F207" i="1"/>
  <c r="F208" i="1"/>
  <c r="G199" i="1"/>
  <c r="G200" i="1" s="1"/>
  <c r="G215" i="1"/>
  <c r="G213" i="1"/>
  <c r="G214" i="1" s="1"/>
  <c r="F233" i="1"/>
  <c r="F232" i="1"/>
  <c r="F59" i="1"/>
  <c r="I137" i="1"/>
  <c r="I144" i="1" s="1"/>
  <c r="G233" i="1"/>
  <c r="G232" i="1"/>
  <c r="F23" i="1"/>
  <c r="T60" i="1"/>
  <c r="I63" i="1"/>
  <c r="I70" i="1" s="1"/>
  <c r="F28" i="1"/>
  <c r="F29" i="1" s="1"/>
  <c r="F30" i="1" s="1"/>
  <c r="F31" i="1" s="1"/>
  <c r="F32" i="1" s="1"/>
  <c r="F33" i="1" s="1"/>
  <c r="F34" i="1" s="1"/>
  <c r="F35" i="1" s="1"/>
  <c r="F36" i="1" s="1"/>
  <c r="F37" i="1" s="1"/>
  <c r="F38" i="1" s="1"/>
  <c r="F39" i="1" s="1"/>
  <c r="F40" i="1" s="1"/>
  <c r="F41" i="1" s="1"/>
  <c r="F42" i="1" s="1"/>
  <c r="F43" i="1" s="1"/>
  <c r="F44" i="1" s="1"/>
  <c r="F45" i="1" s="1"/>
  <c r="F46" i="1" s="1"/>
  <c r="F47" i="1" s="1"/>
  <c r="F48" i="1" s="1"/>
  <c r="F49" i="1" s="1"/>
  <c r="F50" i="1" s="1"/>
  <c r="F74" i="1"/>
  <c r="F75" i="1" s="1"/>
  <c r="F76" i="1" s="1"/>
  <c r="F77" i="1" s="1"/>
  <c r="F78" i="1" s="1"/>
  <c r="F79" i="1" s="1"/>
  <c r="F80" i="1" s="1"/>
  <c r="F81" i="1" s="1"/>
  <c r="F82" i="1" s="1"/>
  <c r="F83" i="1" s="1"/>
  <c r="F84" i="1" s="1"/>
  <c r="F85" i="1" s="1"/>
  <c r="F86" i="1" s="1"/>
  <c r="F87" i="1" s="1"/>
  <c r="F88" i="1" s="1"/>
  <c r="F89" i="1" s="1"/>
  <c r="F90" i="1" s="1"/>
  <c r="F91" i="1" s="1"/>
  <c r="F92" i="1" s="1"/>
  <c r="F93" i="1" s="1"/>
  <c r="F94" i="1" s="1"/>
  <c r="F95" i="1" s="1"/>
  <c r="F96" i="1" s="1"/>
  <c r="F97" i="1" s="1"/>
  <c r="F98" i="1" s="1"/>
  <c r="F99" i="1" s="1"/>
  <c r="F100" i="1" s="1"/>
  <c r="F101" i="1" s="1"/>
  <c r="F102" i="1" s="1"/>
  <c r="F103" i="1" s="1"/>
  <c r="F104" i="1" s="1"/>
  <c r="F105" i="1" s="1"/>
  <c r="F106" i="1" s="1"/>
  <c r="F107" i="1" s="1"/>
  <c r="F108" i="1" s="1"/>
  <c r="F109" i="1" s="1"/>
  <c r="F110" i="1" s="1"/>
  <c r="F111" i="1" s="1"/>
  <c r="F112" i="1" s="1"/>
  <c r="F113" i="1" s="1"/>
  <c r="F114" i="1" s="1"/>
  <c r="F115" i="1" s="1"/>
  <c r="F116" i="1" s="1"/>
  <c r="F117" i="1" s="1"/>
  <c r="F118" i="1" s="1"/>
  <c r="F119" i="1" s="1"/>
  <c r="F120" i="1" s="1"/>
  <c r="F121" i="1" s="1"/>
  <c r="F122" i="1" s="1"/>
  <c r="F123" i="1" s="1"/>
  <c r="F124" i="1" s="1"/>
  <c r="F125" i="1" s="1"/>
  <c r="F126" i="1" s="1"/>
  <c r="F127" i="1" s="1"/>
  <c r="F128" i="1" s="1"/>
  <c r="F129" i="1" s="1"/>
  <c r="F130" i="1" s="1"/>
  <c r="F131" i="1" s="1"/>
  <c r="F132" i="1" s="1"/>
  <c r="G17" i="1"/>
  <c r="G18" i="1" s="1"/>
  <c r="G19" i="1" s="1"/>
  <c r="G20" i="1" s="1"/>
  <c r="G21" i="1" s="1"/>
  <c r="G22" i="1" s="1"/>
  <c r="G28" i="1"/>
  <c r="G29" i="1" s="1"/>
  <c r="G30" i="1" s="1"/>
  <c r="G31" i="1" s="1"/>
  <c r="G32" i="1" s="1"/>
  <c r="G33" i="1" s="1"/>
  <c r="G34" i="1" s="1"/>
  <c r="G35" i="1" s="1"/>
  <c r="G36" i="1" s="1"/>
  <c r="G37" i="1" s="1"/>
  <c r="G38" i="1" s="1"/>
  <c r="G39" i="1" s="1"/>
  <c r="G40" i="1" s="1"/>
  <c r="G41" i="1" s="1"/>
  <c r="G42" i="1" s="1"/>
  <c r="G43" i="1" s="1"/>
  <c r="G44" i="1" s="1"/>
  <c r="G45" i="1" s="1"/>
  <c r="G46" i="1" s="1"/>
  <c r="G47" i="1" s="1"/>
  <c r="G48" i="1" s="1"/>
  <c r="G49" i="1" s="1"/>
  <c r="G50" i="1" s="1"/>
  <c r="G158" i="1"/>
  <c r="G148" i="1"/>
  <c r="G149" i="1" s="1"/>
  <c r="G150" i="1" s="1"/>
  <c r="G151" i="1" s="1"/>
  <c r="G152" i="1" s="1"/>
  <c r="G153" i="1" s="1"/>
  <c r="G154" i="1" s="1"/>
  <c r="G155" i="1" s="1"/>
  <c r="G156" i="1" s="1"/>
  <c r="G157" i="1" s="1"/>
  <c r="F158" i="1"/>
  <c r="G220" i="1"/>
  <c r="G221" i="1" s="1"/>
  <c r="G222" i="1" s="1"/>
  <c r="G223" i="1" s="1"/>
  <c r="G224" i="1" s="1"/>
  <c r="G225" i="1" s="1"/>
  <c r="G226" i="1" s="1"/>
  <c r="G227" i="1"/>
  <c r="F176" i="1"/>
  <c r="G56" i="1"/>
  <c r="G57" i="1" s="1"/>
  <c r="G58" i="1" s="1"/>
  <c r="T202" i="1"/>
  <c r="G74" i="1"/>
  <c r="G75" i="1" s="1"/>
  <c r="G76" i="1" s="1"/>
  <c r="G77" i="1" s="1"/>
  <c r="G78" i="1" s="1"/>
  <c r="G79" i="1" s="1"/>
  <c r="G80" i="1" s="1"/>
  <c r="G81" i="1" s="1"/>
  <c r="G82" i="1" s="1"/>
  <c r="G83" i="1" s="1"/>
  <c r="G84" i="1" s="1"/>
  <c r="G85" i="1" s="1"/>
  <c r="G86" i="1" s="1"/>
  <c r="G87" i="1" s="1"/>
  <c r="G88" i="1" s="1"/>
  <c r="G89" i="1" s="1"/>
  <c r="G90" i="1" s="1"/>
  <c r="G91" i="1" s="1"/>
  <c r="G92" i="1" s="1"/>
  <c r="G93" i="1" s="1"/>
  <c r="G94" i="1" s="1"/>
  <c r="G95" i="1" s="1"/>
  <c r="G96" i="1" s="1"/>
  <c r="G97" i="1" s="1"/>
  <c r="G98" i="1" s="1"/>
  <c r="G99" i="1" s="1"/>
  <c r="G100" i="1" s="1"/>
  <c r="G101" i="1" s="1"/>
  <c r="G102" i="1" s="1"/>
  <c r="G103" i="1" s="1"/>
  <c r="G104" i="1" s="1"/>
  <c r="G105" i="1" s="1"/>
  <c r="G106" i="1" s="1"/>
  <c r="G107" i="1" s="1"/>
  <c r="G108" i="1" s="1"/>
  <c r="G109" i="1" s="1"/>
  <c r="G110" i="1" s="1"/>
  <c r="G111" i="1" s="1"/>
  <c r="G112" i="1" s="1"/>
  <c r="G113" i="1" s="1"/>
  <c r="G114" i="1" s="1"/>
  <c r="G115" i="1" s="1"/>
  <c r="G116" i="1" s="1"/>
  <c r="G117" i="1" s="1"/>
  <c r="G118" i="1" s="1"/>
  <c r="G119" i="1" s="1"/>
  <c r="G120" i="1" s="1"/>
  <c r="G121" i="1" s="1"/>
  <c r="G122" i="1" s="1"/>
  <c r="G123" i="1" s="1"/>
  <c r="G124" i="1" s="1"/>
  <c r="G125" i="1" s="1"/>
  <c r="G126" i="1" s="1"/>
  <c r="G127" i="1" s="1"/>
  <c r="G128" i="1" s="1"/>
  <c r="G129" i="1" s="1"/>
  <c r="G130" i="1" s="1"/>
  <c r="G131" i="1" s="1"/>
  <c r="G132" i="1" s="1"/>
  <c r="G133" i="1"/>
  <c r="F213" i="1"/>
  <c r="F214" i="1" s="1"/>
  <c r="T228" i="1"/>
  <c r="F143" i="1"/>
  <c r="F138" i="1"/>
  <c r="F139" i="1" s="1"/>
  <c r="F140" i="1" s="1"/>
  <c r="F141" i="1" s="1"/>
  <c r="F142" i="1" s="1"/>
  <c r="F227" i="1"/>
  <c r="G208" i="1" l="1"/>
  <c r="G163" i="1"/>
  <c r="G164" i="1" s="1"/>
  <c r="G165" i="1" s="1"/>
  <c r="G166" i="1" s="1"/>
  <c r="G167" i="1" s="1"/>
  <c r="G168" i="1" s="1"/>
  <c r="G169" i="1" s="1"/>
  <c r="G170" i="1" s="1"/>
  <c r="G171" i="1" s="1"/>
  <c r="G172" i="1" s="1"/>
  <c r="G173" i="1" s="1"/>
  <c r="G174" i="1" s="1"/>
  <c r="G175" i="1" s="1"/>
  <c r="G176" i="1"/>
  <c r="C2" i="1"/>
  <c r="C3" i="1" l="1"/>
  <c r="I7" i="1" s="1"/>
  <c r="C8" i="1"/>
</calcChain>
</file>

<file path=xl/sharedStrings.xml><?xml version="1.0" encoding="utf-8"?>
<sst xmlns="http://schemas.openxmlformats.org/spreadsheetml/2006/main" count="1012" uniqueCount="31">
  <si>
    <t>Auto+Hide+Values+Formulas=Sheet9,Sheet5,Sheet6</t>
  </si>
  <si>
    <t>Hide</t>
  </si>
  <si>
    <t>Fit</t>
  </si>
  <si>
    <t>Start Date</t>
  </si>
  <si>
    <t>End Date</t>
  </si>
  <si>
    <t>Current Filter</t>
  </si>
  <si>
    <t>Department</t>
  </si>
  <si>
    <t>Location</t>
  </si>
  <si>
    <t>*</t>
  </si>
  <si>
    <t>GL Activity Detail Report</t>
  </si>
  <si>
    <t>Company</t>
  </si>
  <si>
    <t>Beginning Period</t>
  </si>
  <si>
    <t>Account Filter</t>
  </si>
  <si>
    <t>Print Date:</t>
  </si>
  <si>
    <t>G/L Account No.</t>
  </si>
  <si>
    <t>G/L Account Name</t>
  </si>
  <si>
    <t>Transaction Date</t>
  </si>
  <si>
    <t>Journal No.</t>
  </si>
  <si>
    <t>Vendor</t>
  </si>
  <si>
    <t>Document Number</t>
  </si>
  <si>
    <t>Reference</t>
  </si>
  <si>
    <t>Transaction Description</t>
  </si>
  <si>
    <t>Debit Amount</t>
  </si>
  <si>
    <t>Credit Amount</t>
  </si>
  <si>
    <t>Total</t>
  </si>
  <si>
    <t>Auto</t>
  </si>
  <si>
    <t>Report Total:</t>
  </si>
  <si>
    <t>Auto+Hide+Values+Formulas=Sheet6,Sheet3,Sheet4</t>
  </si>
  <si>
    <t>Grant</t>
  </si>
  <si>
    <t>Contract</t>
  </si>
  <si>
    <t>Check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</si>
</sst>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color theme="0" tint="-0.34998626667073579"/>
      <name val="Arial"/>
      <family val="2"/>
    </font>
    <font>
      <b/>
      <sz val="11"/>
      <name val="Arial"/>
      <family val="2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8" fillId="0" borderId="0"/>
    <xf numFmtId="0" fontId="1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58">
    <xf numFmtId="0" fontId="0" fillId="0" borderId="0" xfId="0"/>
    <xf numFmtId="0" fontId="0" fillId="2" borderId="0" xfId="0" applyFill="1"/>
    <xf numFmtId="0" fontId="2" fillId="2" borderId="0" xfId="0" applyFont="1" applyFill="1"/>
    <xf numFmtId="14" fontId="0" fillId="2" borderId="0" xfId="0" applyNumberFormat="1" applyFont="1" applyFill="1" applyBorder="1" applyAlignment="1">
      <alignment horizontal="center"/>
    </xf>
    <xf numFmtId="14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Fill="1"/>
    <xf numFmtId="0" fontId="0" fillId="2" borderId="0" xfId="0" applyNumberFormat="1" applyFill="1" applyAlignment="1">
      <alignment horizont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/>
    <xf numFmtId="14" fontId="4" fillId="0" borderId="0" xfId="0" applyNumberFormat="1" applyFont="1" applyAlignment="1">
      <alignment horizontal="center"/>
    </xf>
    <xf numFmtId="0" fontId="5" fillId="3" borderId="0" xfId="0" applyFont="1" applyFill="1"/>
    <xf numFmtId="0" fontId="5" fillId="0" borderId="0" xfId="0" applyFont="1" applyFill="1"/>
    <xf numFmtId="0" fontId="5" fillId="0" borderId="0" xfId="0" applyFont="1"/>
    <xf numFmtId="44" fontId="5" fillId="0" borderId="0" xfId="2" applyFont="1"/>
    <xf numFmtId="0" fontId="6" fillId="2" borderId="0" xfId="0" applyFont="1" applyFill="1"/>
    <xf numFmtId="0" fontId="6" fillId="0" borderId="0" xfId="0" applyFont="1" applyFill="1"/>
    <xf numFmtId="14" fontId="0" fillId="0" borderId="0" xfId="0" applyNumberFormat="1"/>
    <xf numFmtId="0" fontId="0" fillId="0" borderId="0" xfId="0" applyAlignment="1">
      <alignment horizontal="right"/>
    </xf>
    <xf numFmtId="43" fontId="0" fillId="0" borderId="0" xfId="1" applyFont="1"/>
    <xf numFmtId="43" fontId="0" fillId="0" borderId="0" xfId="0" applyNumberFormat="1"/>
    <xf numFmtId="43" fontId="5" fillId="3" borderId="1" xfId="1" applyFont="1" applyFill="1" applyBorder="1"/>
    <xf numFmtId="43" fontId="7" fillId="3" borderId="2" xfId="1" applyFont="1" applyFill="1" applyBorder="1"/>
    <xf numFmtId="0" fontId="8" fillId="2" borderId="0" xfId="3" applyFill="1"/>
    <xf numFmtId="0" fontId="2" fillId="2" borderId="0" xfId="3" applyFont="1" applyFill="1"/>
    <xf numFmtId="14" fontId="1" fillId="0" borderId="0" xfId="4" applyNumberFormat="1" applyAlignment="1">
      <alignment horizontal="center"/>
    </xf>
    <xf numFmtId="14" fontId="8" fillId="2" borderId="0" xfId="3" applyNumberFormat="1" applyFill="1" applyAlignment="1">
      <alignment horizontal="center"/>
    </xf>
    <xf numFmtId="0" fontId="8" fillId="2" borderId="0" xfId="3" applyFill="1" applyAlignment="1">
      <alignment horizontal="center"/>
    </xf>
    <xf numFmtId="0" fontId="8" fillId="0" borderId="0" xfId="3" applyFill="1"/>
    <xf numFmtId="0" fontId="8" fillId="0" borderId="0" xfId="3"/>
    <xf numFmtId="0" fontId="8" fillId="2" borderId="0" xfId="3" applyNumberFormat="1" applyFill="1" applyAlignment="1">
      <alignment horizontal="center"/>
    </xf>
    <xf numFmtId="0" fontId="8" fillId="0" borderId="0" xfId="3" applyAlignment="1">
      <alignment horizontal="left"/>
    </xf>
    <xf numFmtId="14" fontId="8" fillId="0" borderId="0" xfId="3" applyNumberFormat="1" applyAlignment="1">
      <alignment horizontal="center"/>
    </xf>
    <xf numFmtId="0" fontId="8" fillId="0" borderId="0" xfId="3" applyAlignment="1">
      <alignment horizontal="center"/>
    </xf>
    <xf numFmtId="0" fontId="4" fillId="0" borderId="0" xfId="3" applyFont="1"/>
    <xf numFmtId="14" fontId="4" fillId="0" borderId="0" xfId="3" applyNumberFormat="1" applyFont="1" applyAlignment="1">
      <alignment horizontal="center"/>
    </xf>
    <xf numFmtId="0" fontId="5" fillId="3" borderId="0" xfId="3" applyFont="1" applyFill="1"/>
    <xf numFmtId="0" fontId="5" fillId="0" borderId="0" xfId="3" applyFont="1" applyFill="1"/>
    <xf numFmtId="0" fontId="5" fillId="0" borderId="0" xfId="3" applyFont="1"/>
    <xf numFmtId="44" fontId="5" fillId="0" borderId="0" xfId="5" applyFont="1"/>
    <xf numFmtId="0" fontId="6" fillId="2" borderId="0" xfId="3" applyFont="1" applyFill="1"/>
    <xf numFmtId="0" fontId="6" fillId="0" borderId="0" xfId="3" applyFont="1" applyFill="1"/>
    <xf numFmtId="14" fontId="8" fillId="0" borderId="0" xfId="3" applyNumberFormat="1"/>
    <xf numFmtId="0" fontId="8" fillId="0" borderId="0" xfId="3" applyAlignment="1">
      <alignment horizontal="right"/>
    </xf>
    <xf numFmtId="43" fontId="0" fillId="0" borderId="0" xfId="6" applyFont="1"/>
    <xf numFmtId="43" fontId="8" fillId="0" borderId="0" xfId="3" applyNumberFormat="1"/>
    <xf numFmtId="43" fontId="5" fillId="3" borderId="1" xfId="6" applyFont="1" applyFill="1" applyBorder="1"/>
    <xf numFmtId="43" fontId="7" fillId="3" borderId="2" xfId="6" applyFont="1" applyFill="1" applyBorder="1"/>
    <xf numFmtId="0" fontId="5" fillId="3" borderId="0" xfId="0" applyFont="1" applyFill="1" applyBorder="1" applyAlignment="1">
      <alignment horizontal="right"/>
    </xf>
    <xf numFmtId="0" fontId="7" fillId="3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3" borderId="0" xfId="3" applyFont="1" applyFill="1" applyBorder="1" applyAlignment="1">
      <alignment horizontal="right"/>
    </xf>
    <xf numFmtId="0" fontId="7" fillId="3" borderId="0" xfId="3" applyFont="1" applyFill="1" applyBorder="1" applyAlignment="1">
      <alignment horizontal="right"/>
    </xf>
    <xf numFmtId="0" fontId="3" fillId="0" borderId="0" xfId="3" applyFont="1" applyAlignment="1">
      <alignment horizontal="left"/>
    </xf>
    <xf numFmtId="0" fontId="4" fillId="0" borderId="0" xfId="3" applyFont="1" applyAlignment="1">
      <alignment horizontal="left"/>
    </xf>
  </cellXfs>
  <cellStyles count="7">
    <cellStyle name="Comma" xfId="1" builtinId="3"/>
    <cellStyle name="Comma 2" xfId="6"/>
    <cellStyle name="Currency" xfId="2" builtinId="4"/>
    <cellStyle name="Currency 2" xfId="5"/>
    <cellStyle name="Normal" xfId="0" builtinId="0"/>
    <cellStyle name="Normal 2" xfId="3"/>
    <cellStyle name="Normal 6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10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illp/AppData/Local/Microsoft/Windows/INetCache/Content.Outlook/UTMSPNL6/3460%2092%20URHS%20FY2025%20(01.11.2025)%20-%20Grant_Repor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illp/AppData/Local/Microsoft/Windows/INetCache/Content.Outlook/UTMSPNL6/3420%20FIA%2054%20UT%202025%205101%20(01.11.2025)%20-%20Grant_Report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illp/AppData/Local/Microsoft/Windows/INetCache/Content.Outlook/UTMSPNL6/343%20FIA%20UT%205101%20(01.11.2025)%20-%20Grant_Report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illp/AppData/Local/Microsoft/Windows/INetCache/Content.Outlook/UTMSPNL6/5021%20(01.12.2025)%20-%20Department_ReportMaster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03gp10\Shares\Users\administrator\AppData\Roaming\Microsoft\Excel\jet-reports-tutorial-jet-scheduler-excel-batch-template\Dynamic%20Scheduler_Report%20for.Department_ReportMaster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03gp10\Shares\Users\administrator\AppData\Roaming\Microsoft\Excel\Jet%20Reports\GL_TrialBalance_Detail_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ptions"/>
      <sheetName val="Email"/>
      <sheetName val="Summary"/>
      <sheetName val="Detail"/>
      <sheetName val="Sheet1"/>
      <sheetName val="Sheet2"/>
      <sheetName val="Sheet3"/>
      <sheetName val="Sheet4"/>
      <sheetName val="Sheet5"/>
      <sheetName val="Sheet6"/>
    </sheetNames>
    <sheetDataSet>
      <sheetData sheetId="0">
        <row r="7">
          <cell r="D7" t="str">
            <v>..9/30/2020</v>
          </cell>
        </row>
        <row r="8">
          <cell r="D8" t="str">
            <v>3460 92 URHS FY2025</v>
          </cell>
        </row>
      </sheetData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ptions"/>
      <sheetName val="Email"/>
      <sheetName val="Summary"/>
      <sheetName val="Detail"/>
      <sheetName val="Sheet1"/>
      <sheetName val="Sheet2"/>
      <sheetName val="Sheet3"/>
      <sheetName val="Sheet4"/>
      <sheetName val="Sheet5"/>
      <sheetName val="Sheet6"/>
    </sheetNames>
    <sheetDataSet>
      <sheetData sheetId="0">
        <row r="7">
          <cell r="D7" t="str">
            <v>..9/30/2020</v>
          </cell>
        </row>
        <row r="8">
          <cell r="D8" t="str">
            <v>3420 FIA 54 UT 2025 5101</v>
          </cell>
        </row>
      </sheetData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ptions"/>
      <sheetName val="Email"/>
      <sheetName val="Summary"/>
      <sheetName val="Detail"/>
      <sheetName val="Sheet1"/>
      <sheetName val="Sheet2"/>
      <sheetName val="Sheet3"/>
      <sheetName val="Sheet4"/>
      <sheetName val="Sheet5"/>
      <sheetName val="Sheet6"/>
    </sheetNames>
    <sheetDataSet>
      <sheetData sheetId="0">
        <row r="7">
          <cell r="D7" t="str">
            <v>..9/30/2020</v>
          </cell>
        </row>
        <row r="8">
          <cell r="D8" t="str">
            <v>343 FIA UT 5101</v>
          </cell>
        </row>
      </sheetData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ptions"/>
      <sheetName val="Email Info"/>
      <sheetName val="5021 (2)"/>
      <sheetName val="5021"/>
      <sheetName val="Sheet1"/>
      <sheetName val="Sheet2"/>
      <sheetName val="Sheet3"/>
      <sheetName val="Sheet4"/>
      <sheetName val="Sheet5"/>
      <sheetName val="Sheet6"/>
      <sheetName val="Sheet7"/>
      <sheetName val="Sheet8"/>
      <sheetName val="Sheet9"/>
    </sheetNames>
    <sheetDataSet>
      <sheetData sheetId="0">
        <row r="7">
          <cell r="D7" t="str">
            <v>9/1/2020..9/30/2020</v>
          </cell>
        </row>
        <row r="8">
          <cell r="D8">
            <v>5021</v>
          </cell>
        </row>
      </sheetData>
      <sheetData sheetId="1" refreshError="1"/>
      <sheetData sheetId="2">
        <row r="4">
          <cell r="E4">
            <v>45670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ptions"/>
      <sheetName val="Email Info"/>
      <sheetName val="Department Detail"/>
    </sheetNames>
    <sheetDataSet>
      <sheetData sheetId="0">
        <row r="6">
          <cell r="D6">
            <v>3500</v>
          </cell>
        </row>
      </sheetData>
      <sheetData sheetId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"/>
      <sheetName val="Options"/>
      <sheetName val="Report"/>
      <sheetName val="Sheet7"/>
      <sheetName val="Summary"/>
      <sheetName val="Sheet1"/>
      <sheetName val="Sheet2"/>
      <sheetName val="Sheet3"/>
      <sheetName val="Sheet4"/>
      <sheetName val="Sheet5"/>
      <sheetName val="Sheet6"/>
      <sheetName val="Sheet8"/>
      <sheetName val="Sheet9"/>
      <sheetName val="Sheet10"/>
    </sheetNames>
    <sheetDataSet>
      <sheetData sheetId="0" refreshError="1"/>
      <sheetData sheetId="1" refreshError="1"/>
      <sheetData sheetId="2" refreshError="1"/>
      <sheetData sheetId="3" refreshError="1">
        <row r="2">
          <cell r="A2">
            <v>1501</v>
          </cell>
          <cell r="B2" t="str">
            <v>kevinj@squire.com;kjjson@hotmail.com</v>
          </cell>
        </row>
        <row r="3">
          <cell r="A3">
            <v>1503</v>
          </cell>
          <cell r="B3" t="str">
            <v>kevinj@squire.com;kjjson@hotmail.com</v>
          </cell>
        </row>
        <row r="4">
          <cell r="A4">
            <v>1505</v>
          </cell>
          <cell r="B4" t="str">
            <v>kevinj@squire.com;kjjson@hotmail.com</v>
          </cell>
        </row>
        <row r="5">
          <cell r="A5">
            <v>1800</v>
          </cell>
          <cell r="B5" t="str">
            <v>kevinj@squire.com;kjjson@hotmail.com</v>
          </cell>
        </row>
        <row r="6">
          <cell r="A6">
            <v>2000</v>
          </cell>
          <cell r="B6" t="str">
            <v>kevinj@squire.com;kjjson@hotmail.com</v>
          </cell>
        </row>
        <row r="7">
          <cell r="A7">
            <v>2010</v>
          </cell>
          <cell r="B7" t="str">
            <v>kevinj@squire.com;kjjson@hotmail.com</v>
          </cell>
        </row>
        <row r="8">
          <cell r="A8">
            <v>2020</v>
          </cell>
          <cell r="B8" t="str">
            <v>kevinj@squire.com;kjjson@hotmail.com</v>
          </cell>
        </row>
        <row r="9">
          <cell r="A9">
            <v>2030</v>
          </cell>
          <cell r="B9" t="str">
            <v>kevinj@squire.com;kjjson@hotmail.com</v>
          </cell>
        </row>
        <row r="10">
          <cell r="A10">
            <v>2040</v>
          </cell>
          <cell r="B10" t="str">
            <v>kevinj@squire.com;kjjson@hotmail.com</v>
          </cell>
        </row>
        <row r="11">
          <cell r="A11">
            <v>2510</v>
          </cell>
          <cell r="B11" t="str">
            <v>kevinj@squire.com;kjjson@hotmail.com</v>
          </cell>
        </row>
        <row r="12">
          <cell r="A12">
            <v>2511</v>
          </cell>
          <cell r="B12" t="str">
            <v>kevinj@squire.com;kjjson@hotmail.com</v>
          </cell>
        </row>
        <row r="13">
          <cell r="A13">
            <v>2520</v>
          </cell>
          <cell r="B13" t="str">
            <v>kevinj@squire.com;kjjson@hotmail.com</v>
          </cell>
        </row>
        <row r="14">
          <cell r="A14">
            <v>2531</v>
          </cell>
          <cell r="B14" t="str">
            <v>kevinj@squire.com;kjjson@hotmail.com</v>
          </cell>
        </row>
        <row r="15">
          <cell r="A15">
            <v>2550</v>
          </cell>
          <cell r="B15" t="str">
            <v>kevinj@squire.com;kjjson@hotmail.com</v>
          </cell>
        </row>
        <row r="16">
          <cell r="A16">
            <v>3010</v>
          </cell>
          <cell r="B16" t="str">
            <v>kevinj@squire.com;kjjson@hotmail.com</v>
          </cell>
        </row>
        <row r="17">
          <cell r="A17">
            <v>3020</v>
          </cell>
          <cell r="B17" t="str">
            <v>kevinj@squire.com;kjjson@hotmail.com</v>
          </cell>
        </row>
        <row r="18">
          <cell r="A18">
            <v>3500</v>
          </cell>
          <cell r="B18" t="str">
            <v>kevinj@squire.com;kjjson@hotmail.com</v>
          </cell>
        </row>
        <row r="19">
          <cell r="A19">
            <v>4010</v>
          </cell>
          <cell r="B19" t="str">
            <v>kevinj@squire.com;kjjson@hotmail.com</v>
          </cell>
        </row>
        <row r="20">
          <cell r="A20">
            <v>4011</v>
          </cell>
          <cell r="B20" t="str">
            <v>kevinj@squire.com;kjjson@hotmail.com</v>
          </cell>
        </row>
        <row r="21">
          <cell r="A21">
            <v>4012</v>
          </cell>
          <cell r="B21" t="str">
            <v>kevinj@squire.com;kjjson@hotmail.com</v>
          </cell>
        </row>
        <row r="22">
          <cell r="A22">
            <v>4020</v>
          </cell>
          <cell r="B22" t="str">
            <v>kevinj@squire.com;kjjson@hotmail.com</v>
          </cell>
        </row>
        <row r="23">
          <cell r="A23">
            <v>4300</v>
          </cell>
          <cell r="B23" t="str">
            <v>kevinj@squire.com;kjjson@hotmail.com</v>
          </cell>
        </row>
        <row r="24">
          <cell r="A24">
            <v>5020</v>
          </cell>
          <cell r="B24" t="str">
            <v>kevinj@squire.com;kjjson@hotmail.com</v>
          </cell>
        </row>
        <row r="25">
          <cell r="A25">
            <v>5021</v>
          </cell>
          <cell r="B25" t="str">
            <v>kevinj@squire.com;kjjson@hotmail.com</v>
          </cell>
        </row>
        <row r="26">
          <cell r="A26">
            <v>5022</v>
          </cell>
          <cell r="B26" t="str">
            <v>kevinj@squire.com;kjjson@hotmail.com</v>
          </cell>
        </row>
        <row r="27">
          <cell r="A27">
            <v>5510</v>
          </cell>
          <cell r="B27" t="str">
            <v>kevinj@squire.com;kjjson@hotmail.com</v>
          </cell>
        </row>
        <row r="28">
          <cell r="A28">
            <v>5530</v>
          </cell>
          <cell r="B28" t="str">
            <v>kevinj@squire.com;kjjson@hotmail.com</v>
          </cell>
        </row>
        <row r="29">
          <cell r="A29">
            <v>5531</v>
          </cell>
          <cell r="B29" t="str">
            <v>kevinj@squire.com;kjjson@hotmail.com</v>
          </cell>
        </row>
        <row r="30">
          <cell r="A30">
            <v>5540</v>
          </cell>
          <cell r="B30" t="str">
            <v>kevinj@squire.com;kjjson@hotmail.com</v>
          </cell>
        </row>
        <row r="31">
          <cell r="A31">
            <v>5700</v>
          </cell>
          <cell r="B31" t="str">
            <v>kevinj@squire.com;kjjson@hotmail.com</v>
          </cell>
        </row>
        <row r="32">
          <cell r="A32">
            <v>5710</v>
          </cell>
          <cell r="B32" t="str">
            <v>kevinj@squire.com;kjjson@hotmail.com</v>
          </cell>
        </row>
        <row r="33">
          <cell r="A33">
            <v>6000</v>
          </cell>
          <cell r="B33" t="str">
            <v>kevinj@squire.com;kjjson@hotmail.com</v>
          </cell>
        </row>
        <row r="34">
          <cell r="A34">
            <v>6010</v>
          </cell>
          <cell r="B34" t="str">
            <v>kevinj@squire.com;kjjson@hotmail.com</v>
          </cell>
        </row>
        <row r="35">
          <cell r="A35">
            <v>6015</v>
          </cell>
          <cell r="B35" t="str">
            <v>kevinj@squire.com;kjjson@hotmail.com</v>
          </cell>
        </row>
        <row r="36">
          <cell r="A36">
            <v>6020</v>
          </cell>
          <cell r="B36" t="str">
            <v>kevinj@squire.com;kjjson@hotmail.com</v>
          </cell>
        </row>
        <row r="37">
          <cell r="A37">
            <v>6030</v>
          </cell>
          <cell r="B37" t="str">
            <v>kevinj@squire.com;kjjson@hotmail.com</v>
          </cell>
        </row>
        <row r="38">
          <cell r="A38">
            <v>6040</v>
          </cell>
          <cell r="B38" t="str">
            <v>kevinj@squire.com;kjjson@hotmail.com</v>
          </cell>
        </row>
        <row r="39">
          <cell r="A39">
            <v>6060</v>
          </cell>
          <cell r="B39" t="str">
            <v>kevinj@squire.com;kjjson@hotmail.com</v>
          </cell>
        </row>
        <row r="40">
          <cell r="A40">
            <v>6070</v>
          </cell>
          <cell r="B40" t="str">
            <v>kevinj@squire.com;kjjson@hotmail.com</v>
          </cell>
        </row>
        <row r="41">
          <cell r="A41">
            <v>6082</v>
          </cell>
          <cell r="B41" t="str">
            <v>kevinj@squire.com;kjjson@hotmail.com</v>
          </cell>
        </row>
        <row r="42">
          <cell r="A42">
            <v>6083</v>
          </cell>
          <cell r="B42" t="str">
            <v>kevinj@squire.com;kjjson@hotmail.com</v>
          </cell>
        </row>
        <row r="43">
          <cell r="A43">
            <v>6090</v>
          </cell>
          <cell r="B43" t="str">
            <v>kevinj@squire.com;kjjson@hotmail.com</v>
          </cell>
        </row>
        <row r="44">
          <cell r="A44">
            <v>6102</v>
          </cell>
          <cell r="B44" t="str">
            <v>kevinj@squire.com;kjjson@hotmail.com</v>
          </cell>
        </row>
        <row r="45">
          <cell r="A45">
            <v>6105</v>
          </cell>
          <cell r="B45" t="str">
            <v>kevinj@squire.com;kjjson@hotmail.com</v>
          </cell>
        </row>
        <row r="46">
          <cell r="A46">
            <v>6401</v>
          </cell>
          <cell r="B46" t="str">
            <v>kevinj@squire.com;kjjson@hotmail.com</v>
          </cell>
        </row>
        <row r="47">
          <cell r="A47">
            <v>6500</v>
          </cell>
          <cell r="B47" t="str">
            <v>kevinj@squire.com;kjjson@hotmail.com</v>
          </cell>
        </row>
        <row r="48">
          <cell r="A48">
            <v>6502</v>
          </cell>
          <cell r="B48" t="str">
            <v>kevinj@squire.com;kjjson@hotmail.com</v>
          </cell>
        </row>
        <row r="49">
          <cell r="A49">
            <v>6503</v>
          </cell>
          <cell r="B49" t="str">
            <v>kevinj@squire.com;kjjson@hotmail.com</v>
          </cell>
        </row>
        <row r="50">
          <cell r="A50">
            <v>6504</v>
          </cell>
          <cell r="B50" t="str">
            <v>kevinj@squire.com;kjjson@hotmail.com</v>
          </cell>
        </row>
        <row r="51">
          <cell r="A51">
            <v>6505</v>
          </cell>
          <cell r="B51" t="str">
            <v>kevinj@squire.com;kjjson@hotmail.com</v>
          </cell>
        </row>
        <row r="52">
          <cell r="A52">
            <v>6506</v>
          </cell>
          <cell r="B52" t="str">
            <v>kevinj@squire.com;kjjson@hotmail.com</v>
          </cell>
        </row>
        <row r="53">
          <cell r="A53">
            <v>6507</v>
          </cell>
          <cell r="B53" t="str">
            <v>kevinj@squire.com;kjjson@hotmail.com</v>
          </cell>
        </row>
        <row r="54">
          <cell r="A54">
            <v>6508</v>
          </cell>
          <cell r="B54" t="str">
            <v>kevinj@squire.com;kjjson@hotmail.com</v>
          </cell>
        </row>
        <row r="55">
          <cell r="A55">
            <v>6515</v>
          </cell>
          <cell r="B55" t="str">
            <v>kevinj@squire.com;kjjson@hotmail.com</v>
          </cell>
        </row>
        <row r="56">
          <cell r="A56">
            <v>6514</v>
          </cell>
          <cell r="B56" t="str">
            <v>kevinj@squire.com;kjjson@hotmail.com</v>
          </cell>
        </row>
        <row r="57">
          <cell r="A57">
            <v>6520</v>
          </cell>
          <cell r="B57" t="str">
            <v>kevinj@squire.com;kjjson@hotmail.com</v>
          </cell>
        </row>
        <row r="58">
          <cell r="A58">
            <v>7010</v>
          </cell>
          <cell r="B58" t="str">
            <v>kevinj@squire.com;kjjson@hotmail.com</v>
          </cell>
        </row>
        <row r="59">
          <cell r="A59">
            <v>7020</v>
          </cell>
          <cell r="B59" t="str">
            <v>kevinj@squire.com;kjjson@hotmail.com</v>
          </cell>
        </row>
        <row r="60">
          <cell r="A60">
            <v>7021</v>
          </cell>
          <cell r="B60" t="str">
            <v>kevinj@squire.com;kjjson@hotmail.com</v>
          </cell>
        </row>
        <row r="61">
          <cell r="A61">
            <v>7022</v>
          </cell>
          <cell r="B61" t="str">
            <v>kevinj@squire.com;kjjson@hotmail.com</v>
          </cell>
        </row>
        <row r="62">
          <cell r="A62">
            <v>7111</v>
          </cell>
          <cell r="B62" t="str">
            <v>kevinj@squire.com;kjjson@hotmail.com</v>
          </cell>
        </row>
        <row r="63">
          <cell r="A63">
            <v>7150</v>
          </cell>
          <cell r="B63" t="str">
            <v>kevinj@squire.com;kjjson@hotmail.com</v>
          </cell>
        </row>
        <row r="64">
          <cell r="A64">
            <v>7170</v>
          </cell>
          <cell r="B64" t="str">
            <v>kevinj@squire.com;kjjson@hotmail.com</v>
          </cell>
        </row>
        <row r="65">
          <cell r="A65">
            <v>7500</v>
          </cell>
          <cell r="B65" t="str">
            <v>kevinj@squire.com;kjjson@hotmail.com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37"/>
  <sheetViews>
    <sheetView topLeftCell="H5" workbookViewId="0">
      <selection activeCell="M225" sqref="M225"/>
    </sheetView>
  </sheetViews>
  <sheetFormatPr defaultRowHeight="15" x14ac:dyDescent="0.25"/>
  <cols>
    <col min="1" max="1" width="18.42578125" style="1" hidden="1" customWidth="1"/>
    <col min="2" max="2" width="17.85546875" style="1" hidden="1" customWidth="1"/>
    <col min="3" max="5" width="17.7109375" style="1" hidden="1" customWidth="1"/>
    <col min="6" max="6" width="9.140625" style="1" hidden="1" customWidth="1"/>
    <col min="7" max="7" width="11.140625" style="1" hidden="1" customWidth="1"/>
    <col min="8" max="8" width="2.140625" style="6" customWidth="1"/>
    <col min="9" max="9" width="15.85546875" bestFit="1" customWidth="1"/>
    <col min="10" max="10" width="40.7109375" bestFit="1" customWidth="1"/>
    <col min="11" max="11" width="22.5703125" hidden="1" customWidth="1"/>
    <col min="12" max="12" width="16.42578125" bestFit="1" customWidth="1"/>
    <col min="13" max="13" width="11.42578125" bestFit="1" customWidth="1"/>
    <col min="14" max="14" width="46" bestFit="1" customWidth="1"/>
    <col min="15" max="15" width="22" bestFit="1" customWidth="1"/>
    <col min="16" max="17" width="27" bestFit="1" customWidth="1"/>
    <col min="18" max="18" width="13.42578125" bestFit="1" customWidth="1"/>
    <col min="19" max="19" width="14.140625" bestFit="1" customWidth="1"/>
    <col min="20" max="20" width="10.5703125" bestFit="1" customWidth="1"/>
  </cols>
  <sheetData>
    <row r="1" spans="1:20" s="1" customFormat="1" hidden="1" x14ac:dyDescent="0.25">
      <c r="A1" s="1" t="s">
        <v>0</v>
      </c>
      <c r="B1" s="2" t="s">
        <v>1</v>
      </c>
      <c r="C1" s="2" t="s">
        <v>1</v>
      </c>
      <c r="D1" s="2" t="s">
        <v>1</v>
      </c>
      <c r="E1" s="2" t="s">
        <v>1</v>
      </c>
      <c r="F1" s="2" t="s">
        <v>1</v>
      </c>
      <c r="G1" s="2" t="s">
        <v>1</v>
      </c>
      <c r="H1" s="2"/>
      <c r="I1" s="1" t="s">
        <v>2</v>
      </c>
      <c r="J1" s="1" t="s">
        <v>2</v>
      </c>
      <c r="K1" s="1" t="s">
        <v>1</v>
      </c>
      <c r="L1" s="1" t="s">
        <v>2</v>
      </c>
      <c r="M1" s="1" t="s">
        <v>2</v>
      </c>
      <c r="N1" s="1" t="s">
        <v>2</v>
      </c>
      <c r="O1" s="1" t="s">
        <v>2</v>
      </c>
      <c r="P1" s="1" t="s">
        <v>2</v>
      </c>
      <c r="Q1" s="1" t="s">
        <v>2</v>
      </c>
      <c r="R1" s="1" t="s">
        <v>2</v>
      </c>
      <c r="S1" s="1" t="s">
        <v>2</v>
      </c>
      <c r="T1" s="1" t="s">
        <v>2</v>
      </c>
    </row>
    <row r="2" spans="1:20" s="1" customFormat="1" hidden="1" x14ac:dyDescent="0.25">
      <c r="A2" s="1" t="s">
        <v>1</v>
      </c>
      <c r="B2" s="1" t="s">
        <v>3</v>
      </c>
      <c r="C2" s="3">
        <f ca="1">DATE(IF(MONTH('[4]5021 (2)'!E4)&gt;=10,YEAR(TODAY()),YEAR(TODAY())-1),10,1)</f>
        <v>45566</v>
      </c>
      <c r="D2" s="4"/>
      <c r="E2" s="4"/>
      <c r="F2" s="4"/>
      <c r="G2" s="4"/>
      <c r="H2" s="4"/>
    </row>
    <row r="3" spans="1:20" s="1" customFormat="1" hidden="1" x14ac:dyDescent="0.25">
      <c r="A3" s="1" t="s">
        <v>1</v>
      </c>
      <c r="B3" s="1" t="s">
        <v>4</v>
      </c>
      <c r="C3" s="4">
        <f ca="1">EOMONTH(C2,11)</f>
        <v>45930</v>
      </c>
      <c r="D3" s="4"/>
      <c r="E3" s="4"/>
      <c r="F3" s="4"/>
      <c r="G3" s="4"/>
      <c r="H3" s="4"/>
    </row>
    <row r="4" spans="1:20" s="1" customFormat="1" hidden="1" x14ac:dyDescent="0.25">
      <c r="A4" s="2" t="s">
        <v>1</v>
      </c>
      <c r="B4" s="1" t="s">
        <v>5</v>
      </c>
      <c r="C4" s="5" t="str">
        <f>"10/1/2024..9/30/2025"</f>
        <v>10/1/2024..9/30/2025</v>
      </c>
      <c r="D4" s="5"/>
      <c r="E4" s="5"/>
      <c r="F4" s="5"/>
      <c r="G4" s="5"/>
      <c r="H4" s="5"/>
    </row>
    <row r="5" spans="1:20" x14ac:dyDescent="0.25">
      <c r="B5" s="1" t="s">
        <v>6</v>
      </c>
      <c r="C5" s="5" t="str">
        <f>"5021"</f>
        <v>5021</v>
      </c>
      <c r="D5" s="5" t="e">
        <f>VLOOKUP(C5,[6]Sheet7!$A$2:$B$7000,2,FALSE)</f>
        <v>#N/A</v>
      </c>
      <c r="E5" s="5"/>
    </row>
    <row r="6" spans="1:20" ht="23.25" x14ac:dyDescent="0.35">
      <c r="B6" s="1" t="s">
        <v>7</v>
      </c>
      <c r="C6" s="5" t="s">
        <v>8</v>
      </c>
      <c r="D6" s="5"/>
      <c r="E6" s="5"/>
      <c r="I6" s="52" t="s">
        <v>9</v>
      </c>
      <c r="J6" s="52"/>
      <c r="K6" s="52"/>
    </row>
    <row r="7" spans="1:20" x14ac:dyDescent="0.25">
      <c r="B7" s="1" t="s">
        <v>10</v>
      </c>
      <c r="C7" s="7" t="str">
        <f>"0000|9050"</f>
        <v>0000|9050</v>
      </c>
      <c r="D7" s="5"/>
      <c r="E7" s="5"/>
      <c r="I7" s="53" t="str">
        <f ca="1">"For the Period of "&amp;TEXT($C$2,"MMMM D, YYYY")&amp;" through "&amp;TEXT($C$3,"MMMM D, YYYY")</f>
        <v>For the Period of October 1, 2024 through September 30, 2025</v>
      </c>
      <c r="J7" s="53"/>
      <c r="K7" s="53"/>
      <c r="L7" s="53"/>
      <c r="M7" s="53"/>
    </row>
    <row r="8" spans="1:20" x14ac:dyDescent="0.25">
      <c r="B8" s="1" t="s">
        <v>11</v>
      </c>
      <c r="C8" s="7" t="str">
        <f ca="1">YEAR($C$2)&amp;"/0"</f>
        <v>2024/0</v>
      </c>
      <c r="D8" s="5"/>
      <c r="E8" s="5"/>
    </row>
    <row r="9" spans="1:20" x14ac:dyDescent="0.25">
      <c r="B9" s="1" t="s">
        <v>12</v>
      </c>
      <c r="C9" s="1" t="str">
        <f>"||""Filter"",""Jet GL Transactions"",""Account Number"",""Segment 1"",""5021"",""Segment 2"",""*"",""Segment 4"",""0000|9050"""</f>
        <v>||"Filter","Jet GL Transactions","Account Number","Segment 1","5021","Segment 2","*","Segment 4","0000|9050"</v>
      </c>
      <c r="D9" s="7"/>
      <c r="E9" s="7"/>
      <c r="I9" t="str">
        <f>B5</f>
        <v>Department</v>
      </c>
      <c r="J9" s="8" t="str">
        <f>"5021   Uinta River High School"</f>
        <v>5021   Uinta River High School</v>
      </c>
      <c r="K9" s="9"/>
      <c r="L9" s="8"/>
    </row>
    <row r="10" spans="1:20" hidden="1" x14ac:dyDescent="0.25">
      <c r="A10" s="2" t="s">
        <v>1</v>
      </c>
      <c r="B10" s="1" t="str">
        <f>"3500"</f>
        <v>3500</v>
      </c>
      <c r="I10" t="str">
        <f>B6</f>
        <v>Location</v>
      </c>
      <c r="J10" s="8" t="str">
        <f>""</f>
        <v/>
      </c>
      <c r="L10" s="10"/>
    </row>
    <row r="11" spans="1:20" hidden="1" x14ac:dyDescent="0.25">
      <c r="A11" s="2" t="s">
        <v>1</v>
      </c>
      <c r="I11" t="str">
        <f>B7</f>
        <v>Company</v>
      </c>
      <c r="J11" s="8" t="str">
        <f>"0000|9050   "</f>
        <v xml:space="preserve">0000|9050   </v>
      </c>
      <c r="R11" s="11" t="s">
        <v>13</v>
      </c>
      <c r="S11" s="12">
        <v>45669</v>
      </c>
    </row>
    <row r="14" spans="1:20" x14ac:dyDescent="0.25">
      <c r="I14" s="13" t="s">
        <v>14</v>
      </c>
      <c r="J14" s="13" t="s">
        <v>15</v>
      </c>
      <c r="K14" s="13"/>
      <c r="L14" s="13" t="s">
        <v>16</v>
      </c>
      <c r="M14" s="13" t="s">
        <v>17</v>
      </c>
      <c r="N14" s="13" t="s">
        <v>18</v>
      </c>
      <c r="O14" s="13" t="s">
        <v>19</v>
      </c>
      <c r="P14" s="13" t="s">
        <v>20</v>
      </c>
      <c r="Q14" s="13" t="s">
        <v>21</v>
      </c>
      <c r="R14" s="13" t="s">
        <v>22</v>
      </c>
      <c r="S14" s="13" t="s">
        <v>23</v>
      </c>
      <c r="T14" s="13" t="s">
        <v>24</v>
      </c>
    </row>
    <row r="15" spans="1:20" x14ac:dyDescent="0.25"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</row>
    <row r="16" spans="1:20" x14ac:dyDescent="0.25">
      <c r="D16" s="1" t="str">
        <f>"||""Filter"",""Jet GL Transactions"",""Account Number"",""Transaction Date"",""10/1/2024..9/30/2025"",""Account Number"",""||""""Filter"""",""""Jet GL Transactions"""",""""Account Number"""",""""Segment 1"""",""""5021"""",""""Segment 2"""",""""*"""",""""Segment 4"""",""""0000|9050"""""""</f>
        <v>||"Filter","Jet GL Transactions","Account Number","Transaction Date","10/1/2024..9/30/2025","Account Number","||""Filter"",""Jet GL Transactions"",""Account Number"",""Segment 1"",""5021"",""Segment 2"",""*"",""Segment 4"",""0000|9050"""</v>
      </c>
      <c r="F16" s="1" t="str">
        <f>"5021-0-6000-0000"</f>
        <v>5021-0-6000-0000</v>
      </c>
      <c r="G16" s="1" t="str">
        <f>"5021-0-6000-0000"</f>
        <v>5021-0-6000-0000</v>
      </c>
      <c r="I16" s="15" t="str">
        <f>G16</f>
        <v>5021-0-6000-0000</v>
      </c>
      <c r="J16" s="15" t="str">
        <f>"Prof and Tech Services"</f>
        <v>Prof and Tech Services</v>
      </c>
      <c r="Q16" s="15"/>
      <c r="R16" s="16"/>
    </row>
    <row r="17" spans="1:20" x14ac:dyDescent="0.25">
      <c r="A17" s="1" t="s">
        <v>25</v>
      </c>
      <c r="B17" s="17"/>
      <c r="C17" s="17"/>
      <c r="F17" s="17" t="e">
        <f>#REF!</f>
        <v>#REF!</v>
      </c>
      <c r="G17" s="17" t="e">
        <f>#REF!</f>
        <v>#REF!</v>
      </c>
      <c r="H17" s="18"/>
      <c r="K17" t="str">
        <f>"""GP"",""Ute Indian Tribe Membership Fund"",""Jet GL Transactions"",""Account Category Description"",""Other Expenses"",""Account Category Number"",""42"",""Account Description"",""Prof and Tech Services"",""Account Index"",""7832"",""Account Number"",""5021-0-6000-0000"",""Credit "&amp;"Amount"",""0.00000"",""Debit Amount"",""97.95000"",""Document Date"",""1/1/1900"",""Document Number"",""A02433292 SPR 2024"",""Document Sequence"",""32768"",""Period ID"",""2"",""Posting Type"",""Profit and Loss"",""Reference"",""Registration fees"",""Row ID"",""5186101"",""Segment 1"",""5021"&amp;""",""Segment 1 Description"",""Uinta River High School"",""Segment 10"","""",""Segment 10 Description"","""",""Segment 2"",""0"",""Segment 2 Description"","""",""Segment 3"",""6000"",""Segment 3 Description"","""",""Segment 4"",""0000"",""Segment 4 Description"","""",""Segment 5"","""",""Segment "&amp;"5 Description"","""",""Segment 6"","""",""Segment 6 Description"","""",""Segment 7"","""",""Segment 7 Description"","""",""Segment 8"","""",""Segment 8 Description"","""",""Segment 9"","""",""Segment 9 Description"","""",""Transaction Amount"",""97.95000"",""Transaction Date"",""11/4/2024"",""Trans"&amp;"action Description"",""Registration fees"",""Vendor Name"",""Brittany A. Luck"",""Vendor Number"",""LUCK, BRITTANY"",""Journal Entry"",""1571420"""</f>
        <v>"GP","Ute Indian Tribe Membership Fund","Jet GL Transactions","Account Category Description","Other Expenses","Account Category Number","42","Account Description","Prof and Tech Services","Account Index","7832","Account Number","5021-0-6000-0000","Credit Amount","0.00000","Debit Amount","97.95000","Document Date","1/1/1900","Document Number","A02433292 SPR 2024","Document Sequence","32768","Period ID","2","Posting Type","Profit and Loss","Reference","Registration fees","Row ID","5186101","Segment 1","5021","Segment 1 Description","Uinta River High School","Segment 10","","Segment 10 Description","","Segment 2","0","Segment 2 Description","","Segment 3","6000","Segment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Amount","97.95000","Transaction Date","11/4/2024","Transaction Description","Registration fees","Vendor Name","Brittany A. Luck","Vendor Number","LUCK, BRITTANY","Journal Entry","1571420"</v>
      </c>
      <c r="L17" s="19">
        <v>45600</v>
      </c>
      <c r="M17">
        <v>1571420</v>
      </c>
      <c r="N17" t="str">
        <f>"Brittany A. Luck"</f>
        <v>Brittany A. Luck</v>
      </c>
      <c r="O17" t="str">
        <f>"A02433292 SPR 2024"</f>
        <v>A02433292 SPR 2024</v>
      </c>
      <c r="P17" t="str">
        <f>"Registration fees"</f>
        <v>Registration fees</v>
      </c>
      <c r="Q17" s="20" t="str">
        <f>"Registration fees"</f>
        <v>Registration fees</v>
      </c>
      <c r="R17" s="21">
        <v>97.95</v>
      </c>
      <c r="S17" s="21">
        <v>0</v>
      </c>
      <c r="T17" s="22">
        <f t="shared" ref="T17:T22" si="0">SUM(R17:S17)</f>
        <v>97.95</v>
      </c>
    </row>
    <row r="18" spans="1:20" x14ac:dyDescent="0.25">
      <c r="A18" s="1" t="s">
        <v>25</v>
      </c>
      <c r="B18" s="17"/>
      <c r="C18" s="17"/>
      <c r="F18" s="17" t="e">
        <f t="shared" ref="F18:G22" si="1">F17</f>
        <v>#REF!</v>
      </c>
      <c r="G18" s="17" t="e">
        <f t="shared" si="1"/>
        <v>#REF!</v>
      </c>
      <c r="H18" s="18"/>
      <c r="K18" t="str">
        <f>"""GP"",""Ute Indian Tribe Membership Fund"",""Jet GL Transactions"",""Account Category Description"",""Other Expenses"",""Account Category Number"",""42"",""Account Description"",""Prof and Tech Services"",""Account Index"",""7832"",""Account Number"",""5021-0-6000-0000"",""Credit "&amp;"Amount"",""0.00000"",""Debit Amount"",""2293.08000"",""Document Date"",""1/1/1900"",""Document Number"",""15230"",""Document Sequence"",""32768"",""Period ID"",""2"",""Posting Type"",""Profit and Loss"",""Reference"",""Membership dues"",""Row ID"",""5186099"",""Segment 1"",""5021"",""Segment 1 "&amp;"Description"",""Uinta River High School"",""Segment 10"","""",""Segment 10 Description"","""",""Segment 2"",""0"",""Segment 2 Description"","""",""Segment 3"",""6000"",""Segment 3 Description"","""",""Segment 4"",""0000"",""Segment 4 Description"","""",""Segment 5"","""",""Segment 5 Description"&amp;""","""",""Segment 6"","""",""Segment 6 Description"","""",""Segment 7"","""",""Segment 7 Description"","""",""Segment 8"","""",""Segment 8 Description"","""",""Segment 9"","""",""Segment 9 Description"","""",""Transaction Amount"",""2293.08000"",""Transaction Date"",""11/4/2024"",""Transaction Desc"&amp;"ription"",""Membership dues"",""Vendor Name"",""NORTHEASTERN UTAH EDUCATIONAL SERVICES"",""Vendor Number"",""NORTHEASTERN U2"",""Journal Entry"",""1571419"""</f>
        <v>"GP","Ute Indian Tribe Membership Fund","Jet GL Transactions","Account Category Description","Other Expenses","Account Category Number","42","Account Description","Prof and Tech Services","Account Index","7832","Account Number","5021-0-6000-0000","Credit Amount","0.00000","Debit Amount","2293.08000","Document Date","1/1/1900","Document Number","15230","Document Sequence","32768","Period ID","2","Posting Type","Profit and Loss","Reference","Membership dues","Row ID","5186099","Segment 1","5021","Segment 1 Description","Uinta River High School","Segment 10","","Segment 10 Description","","Segment 2","0","Segment 2 Description","","Segment 3","6000","Segment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Amount","2293.08000","Transaction Date","11/4/2024","Transaction Description","Membership dues","Vendor Name","NORTHEASTERN UTAH EDUCATIONAL SERVICES","Vendor Number","NORTHEASTERN U2","Journal Entry","1571419"</v>
      </c>
      <c r="L18" s="19">
        <v>45600</v>
      </c>
      <c r="M18">
        <v>1571419</v>
      </c>
      <c r="N18" t="str">
        <f>"NORTHEASTERN UTAH EDUCATIONAL SERVICES"</f>
        <v>NORTHEASTERN UTAH EDUCATIONAL SERVICES</v>
      </c>
      <c r="O18" t="str">
        <f>"15230"</f>
        <v>15230</v>
      </c>
      <c r="P18" t="str">
        <f>"Membership dues"</f>
        <v>Membership dues</v>
      </c>
      <c r="Q18" s="20" t="str">
        <f>"Membership dues"</f>
        <v>Membership dues</v>
      </c>
      <c r="R18" s="21">
        <v>2293.08</v>
      </c>
      <c r="S18" s="21">
        <v>0</v>
      </c>
      <c r="T18" s="22">
        <f t="shared" si="0"/>
        <v>2293.08</v>
      </c>
    </row>
    <row r="19" spans="1:20" x14ac:dyDescent="0.25">
      <c r="A19" s="1" t="s">
        <v>25</v>
      </c>
      <c r="B19" s="17"/>
      <c r="C19" s="17"/>
      <c r="F19" s="17" t="e">
        <f t="shared" si="1"/>
        <v>#REF!</v>
      </c>
      <c r="G19" s="17" t="e">
        <f t="shared" si="1"/>
        <v>#REF!</v>
      </c>
      <c r="H19" s="18"/>
      <c r="K19" t="str">
        <f>"""GP"",""Ute Indian Tribe Membership Fund"",""Jet GL Transactions"",""Account Category Description"",""Other Expenses"",""Account Category Number"",""42"",""Account Description"",""Prof and Tech Services"",""Account Index"",""7832"",""Account Number"",""5021-0-6000-0000"",""Credit "&amp;"Amount"",""0.00000"",""Debit Amount"",""40.00000"",""Document Date"",""1/1/1900"",""Document Number"",""UINTAHR#2"",""Document Sequence"",""32768"",""Period ID"",""2"",""Posting Type"",""Profit and Loss"",""Reference"",""Membership dues"",""Row ID"",""5215227"",""Segment 1"",""5021"",""Segment "&amp;"1 Description"",""Uinta River High School"",""Segment 10"","""",""Segment 10 Description"","""",""Segment 2"",""0"",""Segment 2 Description"","""",""Segment 3"",""6000"",""Segment 3 Description"","""",""Segment 4"",""0000"",""Segment 4 Description"","""",""Segment 5"","""",""Segment 5 Descripti"&amp;"on"","""",""Segment 6"","""",""Segment 6 Description"","""",""Segment 7"","""",""Segment 7 Description"","""",""Segment 8"","""",""Segment 8 Description"","""",""Segment 9"","""",""Segment 9 Description"","""",""Transaction Amount"",""40.00000"",""Transaction Date"",""11/13/2024"",""Transaction Des"&amp;"cription"",""Membership dues"",""Vendor Name"",""UTAH ASSOCIATION OF PUBLIC CHARTER SCHOOLS"",""Vendor Number"",""UTAH ASSOC05"",""Journal Entry"",""1576177"""</f>
        <v>"GP","Ute Indian Tribe Membership Fund","Jet GL Transactions","Account Category Description","Other Expenses","Account Category Number","42","Account Description","Prof and Tech Services","Account Index","7832","Account Number","5021-0-6000-0000","Credit Amount","0.00000","Debit Amount","40.00000","Document Date","1/1/1900","Document Number","UINTAHR#2","Document Sequence","32768","Period ID","2","Posting Type","Profit and Loss","Reference","Membership dues","Row ID","5215227","Segment 1","5021","Segment 1 Description","Uinta River High School","Segment 10","","Segment 10 Description","","Segment 2","0","Segment 2 Description","","Segment 3","6000","Segment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Amount","40.00000","Transaction Date","11/13/2024","Transaction Description","Membership dues","Vendor Name","UTAH ASSOCIATION OF PUBLIC CHARTER SCHOOLS","Vendor Number","UTAH ASSOC05","Journal Entry","1576177"</v>
      </c>
      <c r="L19" s="19">
        <v>45609</v>
      </c>
      <c r="M19">
        <v>1576177</v>
      </c>
      <c r="N19" t="str">
        <f>"UTAH ASSOCIATION OF PUBLIC CHARTER SCHOOLS"</f>
        <v>UTAH ASSOCIATION OF PUBLIC CHARTER SCHOOLS</v>
      </c>
      <c r="O19" t="str">
        <f>"UINTAHR#2"</f>
        <v>UINTAHR#2</v>
      </c>
      <c r="P19" t="str">
        <f>"Membership dues"</f>
        <v>Membership dues</v>
      </c>
      <c r="Q19" s="20" t="str">
        <f>"Membership dues"</f>
        <v>Membership dues</v>
      </c>
      <c r="R19" s="21">
        <v>40</v>
      </c>
      <c r="S19" s="21">
        <v>0</v>
      </c>
      <c r="T19" s="22">
        <f t="shared" si="0"/>
        <v>40</v>
      </c>
    </row>
    <row r="20" spans="1:20" x14ac:dyDescent="0.25">
      <c r="A20" s="1" t="s">
        <v>25</v>
      </c>
      <c r="B20" s="17"/>
      <c r="C20" s="17"/>
      <c r="F20" s="17" t="e">
        <f t="shared" si="1"/>
        <v>#REF!</v>
      </c>
      <c r="G20" s="17" t="e">
        <f t="shared" si="1"/>
        <v>#REF!</v>
      </c>
      <c r="H20" s="18"/>
      <c r="K20" t="str">
        <f>"""GP"",""Ute Indian Tribe Membership Fund"",""Jet GL Transactions"",""Account Category Description"",""Other Expenses"",""Account Category Number"",""42"",""Account Description"",""Prof and Tech Services"",""Account Index"",""7832"",""Account Number"",""5021-0-6000-0000"",""Credit "&amp;"Amount"",""0.00000"",""Debit Amount"",""1350.00000"",""Document Date"",""1/1/1900"",""Document Number"",""0225/01"",""Document Sequence"",""32768"",""Period ID"",""2"",""Posting Type"",""Profit and Loss"",""Reference"",""College &amp; Career Day"",""Row ID"",""5203308"",""Segment 1"",""5021"",""Seg"&amp;"ment 1 Description"",""Uinta River High School"",""Segment 10"","""",""Segment 10 Description"","""",""Segment 2"",""0"",""Segment 2 Description"","""",""Segment 3"",""6000"",""Segment 3 Description"","""",""Segment 4"",""0000"",""Segment 4 Description"","""",""Segment 5"","""",""Segment 5 Desc"&amp;"ription"","""",""Segment 6"","""",""Segment 6 Description"","""",""Segment 7"","""",""Segment 7 Description"","""",""Segment 8"","""",""Segment 8 Description"","""",""Segment 9"","""",""Segment 9 Description"","""",""Transaction Amount"",""1350.00000"",""Transaction Date"",""11/14/2024"",""Transact"&amp;"ion Description"",""College &amp; Career Day"",""Vendor Name"",""UINTAH COUNTY"",""Vendor Number"",""UINTAH COUNTY01"",""Journal Entry"",""1573976"""</f>
        <v>"GP","Ute Indian Tribe Membership Fund","Jet GL Transactions","Account Category Description","Other Expenses","Account Category Number","42","Account Description","Prof and Tech Services","Account Index","7832","Account Number","5021-0-6000-0000","Credit Amount","0.00000","Debit Amount","1350.00000","Document Date","1/1/1900","Document Number","0225/01","Document Sequence","32768","Period ID","2","Posting Type","Profit and Loss","Reference","College &amp; Career Day","Row ID","5203308","Segment 1","5021","Segment 1 Description","Uinta River High School","Segment 10","","Segment 10 Description","","Segment 2","0","Segment 2 Description","","Segment 3","6000","Segment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Amount","1350.00000","Transaction Date","11/14/2024","Transaction Description","College &amp; Career Day","Vendor Name","UINTAH COUNTY","Vendor Number","UINTAH COUNTY01","Journal Entry","1573976"</v>
      </c>
      <c r="L20" s="19">
        <v>45610</v>
      </c>
      <c r="M20">
        <v>1573976</v>
      </c>
      <c r="N20" t="str">
        <f>"UINTAH COUNTY"</f>
        <v>UINTAH COUNTY</v>
      </c>
      <c r="O20" t="str">
        <f>"0225/01"</f>
        <v>0225/01</v>
      </c>
      <c r="P20" t="str">
        <f>"College &amp; Career Day"</f>
        <v>College &amp; Career Day</v>
      </c>
      <c r="Q20" s="20" t="str">
        <f>"College &amp; Career Day"</f>
        <v>College &amp; Career Day</v>
      </c>
      <c r="R20" s="21">
        <v>1350</v>
      </c>
      <c r="S20" s="21">
        <v>0</v>
      </c>
      <c r="T20" s="22">
        <f t="shared" si="0"/>
        <v>1350</v>
      </c>
    </row>
    <row r="21" spans="1:20" x14ac:dyDescent="0.25">
      <c r="A21" s="1" t="s">
        <v>25</v>
      </c>
      <c r="B21" s="17"/>
      <c r="C21" s="17"/>
      <c r="F21" s="17" t="e">
        <f t="shared" si="1"/>
        <v>#REF!</v>
      </c>
      <c r="G21" s="17" t="e">
        <f t="shared" si="1"/>
        <v>#REF!</v>
      </c>
      <c r="H21" s="18"/>
      <c r="K21" t="str">
        <f>"""GP"",""Ute Indian Tribe Membership Fund"",""Jet GL Transactions"",""Account Category Description"",""Other Expenses"",""Account Category Number"",""42"",""Account Description"",""Prof and Tech Services"",""Account Index"",""7832"",""Account Number"",""5021-0-6000-0000"",""Credit "&amp;"Amount"",""0.00000"",""Debit Amount"",""108.00000"",""Document Date"",""1/1/1900"",""Document Number"",""6488"",""Document Sequence"",""32768"",""Period ID"",""3"",""Posting Type"",""Profit and Loss"",""Reference"",""Bus Radios"",""Row ID"",""5225610"",""Segment 1"",""5021"",""Segment 1 Descrip"&amp;"tion"",""Uinta River High School"",""Segment 10"","""",""Segment 10 Description"","""",""Segment 2"",""0"",""Segment 2 Description"","""",""Segment 3"",""6000"",""Segment 3 Description"","""",""Segment 4"",""0000"",""Segment 4 Description"","""",""Segment 5"","""",""Segment 5 Description"","""",""S"&amp;"egment 6"","""",""Segment 6 Description"","""",""Segment 7"","""",""Segment 7 Description"","""",""Segment 8"","""",""Segment 8 Description"","""",""Segment 9"","""",""Segment 9 Description"","""",""Transaction Amount"",""108.00000"",""Transaction Date"",""12/1/2024"",""Transaction Description"""&amp;",""Bus Radios"",""Vendor Name"",""SYSTEMS COMMUNICATION CORP."",""Vendor Number"",""SYSTEMS CO01"",""Journal Entry"",""1577348"""</f>
        <v>"GP","Ute Indian Tribe Membership Fund","Jet GL Transactions","Account Category Description","Other Expenses","Account Category Number","42","Account Description","Prof and Tech Services","Account Index","7832","Account Number","5021-0-6000-0000","Credit Amount","0.00000","Debit Amount","108.00000","Document Date","1/1/1900","Document Number","6488","Document Sequence","32768","Period ID","3","Posting Type","Profit and Loss","Reference","Bus Radios","Row ID","5225610","Segment 1","5021","Segment 1 Description","Uinta River High School","Segment 10","","Segment 10 Description","","Segment 2","0","Segment 2 Description","","Segment 3","6000","Segment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Amount","108.00000","Transaction Date","12/1/2024","Transaction Description","Bus Radios","Vendor Name","SYSTEMS COMMUNICATION CORP.","Vendor Number","SYSTEMS CO01","Journal Entry","1577348"</v>
      </c>
      <c r="L21" s="19">
        <v>45627</v>
      </c>
      <c r="M21">
        <v>1577348</v>
      </c>
      <c r="N21" t="str">
        <f>"SYSTEMS COMMUNICATION CORP."</f>
        <v>SYSTEMS COMMUNICATION CORP.</v>
      </c>
      <c r="O21" t="str">
        <f>"6488"</f>
        <v>6488</v>
      </c>
      <c r="P21" t="str">
        <f>"Bus Radios"</f>
        <v>Bus Radios</v>
      </c>
      <c r="Q21" s="20" t="str">
        <f>"Bus Radios"</f>
        <v>Bus Radios</v>
      </c>
      <c r="R21" s="21">
        <v>108</v>
      </c>
      <c r="S21" s="21">
        <v>0</v>
      </c>
      <c r="T21" s="22">
        <f t="shared" si="0"/>
        <v>108</v>
      </c>
    </row>
    <row r="22" spans="1:20" x14ac:dyDescent="0.25">
      <c r="A22" s="1" t="s">
        <v>25</v>
      </c>
      <c r="B22" s="17"/>
      <c r="C22" s="17"/>
      <c r="F22" s="17" t="e">
        <f t="shared" si="1"/>
        <v>#REF!</v>
      </c>
      <c r="G22" s="17" t="e">
        <f t="shared" si="1"/>
        <v>#REF!</v>
      </c>
      <c r="H22" s="18"/>
      <c r="K22" t="str">
        <f>"""GP"",""Ute Indian Tribe Membership Fund"",""Jet GL Transactions"",""Account Category Description"",""Other Expenses"",""Account Category Number"",""42"",""Account Description"",""Prof and Tech Services"",""Account Index"",""7832"",""Account Number"",""5021-0-6000-0000"",""Credit "&amp;"Amount"",""0.00000"",""Debit Amount"",""80.00000"",""Document Date"",""1/1/1900"",""Document Number"",""01045"",""Document Sequence"",""32768"",""Period ID"",""3"",""Posting Type"",""Profit and Loss"",""Reference"",""UCTM Conference Fee"",""Row ID"",""5225448"",""Segment 1"",""5021"",""Segment "&amp;"1 Description"",""Uinta River High School"",""Segment 10"","""",""Segment 10 Description"","""",""Segment 2"",""0"",""Segment 2 Description"","""",""Segment 3"",""6000"",""Segment 3 Description"","""",""Segment 4"",""0000"",""Segment 4 Description"","""",""Segment 5"","""",""Segment 5 Descripti"&amp;"on"","""",""Segment 6"","""",""Segment 6 Description"","""",""Segment 7"","""",""Segment 7 Description"","""",""Segment 8"","""",""Segment 8 Description"","""",""Segment 9"","""",""Segment 9 Description"","""",""Transaction Amount"",""80.00000"",""Transaction Date"",""12/2/2024"",""Transaction Desc"&amp;"ription"",""UCTM Conference Fee"",""Vendor Name"",""EMILY FITCHETTE"",""Vendor Number"",""EMILY FITCHETTE"",""Journal Entry"",""1577267"""</f>
        <v>"GP","Ute Indian Tribe Membership Fund","Jet GL Transactions","Account Category Description","Other Expenses","Account Category Number","42","Account Description","Prof and Tech Services","Account Index","7832","Account Number","5021-0-6000-0000","Credit Amount","0.00000","Debit Amount","80.00000","Document Date","1/1/1900","Document Number","01045","Document Sequence","32768","Period ID","3","Posting Type","Profit and Loss","Reference","UCTM Conference Fee","Row ID","5225448","Segment 1","5021","Segment 1 Description","Uinta River High School","Segment 10","","Segment 10 Description","","Segment 2","0","Segment 2 Description","","Segment 3","6000","Segment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Amount","80.00000","Transaction Date","12/2/2024","Transaction Description","UCTM Conference Fee","Vendor Name","EMILY FITCHETTE","Vendor Number","EMILY FITCHETTE","Journal Entry","1577267"</v>
      </c>
      <c r="L22" s="19">
        <v>45628</v>
      </c>
      <c r="M22">
        <v>1577267</v>
      </c>
      <c r="N22" t="str">
        <f>"EMILY FITCHETTE"</f>
        <v>EMILY FITCHETTE</v>
      </c>
      <c r="O22" t="str">
        <f>"01045"</f>
        <v>01045</v>
      </c>
      <c r="P22" t="str">
        <f>"UCTM Conference Fee"</f>
        <v>UCTM Conference Fee</v>
      </c>
      <c r="Q22" s="20" t="str">
        <f>"UCTM Conference Fee"</f>
        <v>UCTM Conference Fee</v>
      </c>
      <c r="R22" s="21">
        <v>80</v>
      </c>
      <c r="S22" s="21">
        <v>0</v>
      </c>
      <c r="T22" s="22">
        <f t="shared" si="0"/>
        <v>80</v>
      </c>
    </row>
    <row r="23" spans="1:20" x14ac:dyDescent="0.25">
      <c r="B23" s="17"/>
      <c r="C23" s="17"/>
      <c r="F23" s="17" t="e">
        <f>#REF!</f>
        <v>#REF!</v>
      </c>
      <c r="G23" s="17" t="e">
        <f>#REF!</f>
        <v>#REF!</v>
      </c>
      <c r="H23" s="18"/>
    </row>
    <row r="24" spans="1:20" x14ac:dyDescent="0.25">
      <c r="I24" s="50" t="str">
        <f>I16&amp;"   "&amp;J16&amp;"         Total:"</f>
        <v>5021-0-6000-0000   Prof and Tech Services         Total:</v>
      </c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23">
        <f>SUBTOTAL(9,T17:T23)</f>
        <v>3969.0299999999997</v>
      </c>
    </row>
    <row r="27" spans="1:20" x14ac:dyDescent="0.25">
      <c r="A27" s="1" t="s">
        <v>25</v>
      </c>
      <c r="D27" s="1" t="str">
        <f>"||""Filter"",""Jet GL Transactions"",""Account Number"",""Transaction Date"",""10/1/2024..9/30/2025"",""Account Number"",""||""""Filter"""",""""Jet GL Transactions"""",""""Account Number"""",""""Segment 1"""",""""5021"""",""""Segment 2"""",""""*"""",""""Segment 4"""",""""0000|9050"""""""</f>
        <v>||"Filter","Jet GL Transactions","Account Number","Transaction Date","10/1/2024..9/30/2025","Account Number","||""Filter"",""Jet GL Transactions"",""Account Number"",""Segment 1"",""5021"",""Segment 2"",""*"",""Segment 4"",""0000|9050"""</v>
      </c>
      <c r="F27" s="1" t="str">
        <f>"5021-0-6100-0000"</f>
        <v>5021-0-6100-0000</v>
      </c>
      <c r="G27" s="1" t="str">
        <f>"5021-0-6100-0000"</f>
        <v>5021-0-6100-0000</v>
      </c>
      <c r="I27" s="15" t="str">
        <f>G27</f>
        <v>5021-0-6100-0000</v>
      </c>
      <c r="J27" s="15" t="str">
        <f>"Salaries and Wages"</f>
        <v>Salaries and Wages</v>
      </c>
      <c r="Q27" s="15"/>
      <c r="R27" s="16"/>
    </row>
    <row r="28" spans="1:20" x14ac:dyDescent="0.25">
      <c r="A28" s="1" t="s">
        <v>25</v>
      </c>
      <c r="B28" s="17"/>
      <c r="C28" s="17"/>
      <c r="F28" s="17" t="e">
        <f>#REF!</f>
        <v>#REF!</v>
      </c>
      <c r="G28" s="17" t="e">
        <f>#REF!</f>
        <v>#REF!</v>
      </c>
      <c r="H28" s="18"/>
      <c r="K28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Amount"",""274.12000"",""Document Date"",""1/1/1900"",""Document Number"",""DD000000000000138265"",""Document Sequence"",""131072"",""Period ID"",""2"",""Posting Type"",""Profit and Loss"",""Reference"",""Payroll Computer Checks"",""Row ID"",""5191840"",""Segment "&amp;"1"",""5021"",""Segment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5"","""","""&amp;"Segment 5 Description"","""",""Segment 6"","""",""Segment 6 Description"","""",""Segment 7"","""",""Segment 7 Description"","""",""Segment 8"","""",""Segment 8 Description"","""",""Segment 9"","""",""Segment 9 Description"","""",""Transaction Amount"",""274.12000"",""Transaction Date"",""11/7/202"&amp;"4"",""Transaction Description"","""",""Vendor Name"",""LAUB, REBECCA"",""Vendor Number"",""2772"",""Journal Entry"",""1571120"""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Amount","274.12000","Document Date","1/1/1900","Document Number","DD000000000000138265","Document Sequence","131072","Period ID","2","Posting Type","Profit and Loss","Reference","Payroll Computer Checks","Row ID","5191840","Segment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Amount","274.12000","Transaction Date","11/7/2024","Transaction Description","","Vendor Name","LAUB, REBECCA","Vendor Number","2772","Journal Entry","1571120"</v>
      </c>
      <c r="L28" s="19">
        <v>45603</v>
      </c>
      <c r="M28">
        <v>1571120</v>
      </c>
      <c r="N28" t="str">
        <f t="shared" ref="N28:N50" si="2">"Payroll Check"</f>
        <v>Payroll Check</v>
      </c>
      <c r="O28" t="str">
        <f>"DD000000000000138265"</f>
        <v>DD000000000000138265</v>
      </c>
      <c r="P28" t="str">
        <f t="shared" ref="P28:P50" si="3">"Payroll Computer Checks"</f>
        <v>Payroll Computer Checks</v>
      </c>
      <c r="Q28" s="20" t="str">
        <f>""</f>
        <v/>
      </c>
      <c r="R28" s="21">
        <v>274.12</v>
      </c>
      <c r="S28" s="21">
        <v>0</v>
      </c>
      <c r="T28" s="22">
        <f t="shared" ref="T28:T50" si="4">SUM(R28:S28)</f>
        <v>274.12</v>
      </c>
    </row>
    <row r="29" spans="1:20" x14ac:dyDescent="0.25">
      <c r="A29" s="1" t="s">
        <v>25</v>
      </c>
      <c r="B29" s="17"/>
      <c r="C29" s="17"/>
      <c r="F29" s="17" t="e">
        <f t="shared" ref="F29:G50" si="5">F28</f>
        <v>#REF!</v>
      </c>
      <c r="G29" s="17" t="e">
        <f t="shared" si="5"/>
        <v>#REF!</v>
      </c>
      <c r="H29" s="18"/>
      <c r="K29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Amount"",""1271.04000"",""Document Date"",""1/1/1900"",""Document Number"",""DD000000000000138266"",""Document Sequence"",""147456"",""Period ID"",""2"",""Posting Type"",""Profit and Loss"",""Reference"",""Payroll Computer Checks"",""Row ID"",""5194369"",""Segment"&amp;" 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Amount"",""1271.04000"",""Transaction Date"",""11/7/2"&amp;"024"",""Transaction Description"","""",""Vendor Name"",""THACKER, STEPHANIE"",""Vendor Number"",""928"",""Journal Entry"",""1571263"""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Amount","1271.04000","Document Date","1/1/1900","Document Number","DD000000000000138266","Document Sequence","147456","Period ID","2","Posting Type","Profit and Loss","Reference","Payroll Computer Checks","Row ID","5194369","Segment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Amount","1271.04000","Transaction Date","11/7/2024","Transaction Description","","Vendor Name","THACKER, STEPHANIE","Vendor Number","928","Journal Entry","1571263"</v>
      </c>
      <c r="L29" s="19">
        <v>45603</v>
      </c>
      <c r="M29">
        <v>1571263</v>
      </c>
      <c r="N29" t="str">
        <f t="shared" si="2"/>
        <v>Payroll Check</v>
      </c>
      <c r="O29" t="str">
        <f>"DD000000000000138266"</f>
        <v>DD000000000000138266</v>
      </c>
      <c r="P29" t="str">
        <f t="shared" si="3"/>
        <v>Payroll Computer Checks</v>
      </c>
      <c r="Q29" s="20" t="str">
        <f>""</f>
        <v/>
      </c>
      <c r="R29" s="21">
        <v>1271.04</v>
      </c>
      <c r="S29" s="21">
        <v>0</v>
      </c>
      <c r="T29" s="22">
        <f t="shared" si="4"/>
        <v>1271.04</v>
      </c>
    </row>
    <row r="30" spans="1:20" x14ac:dyDescent="0.25">
      <c r="A30" s="1" t="s">
        <v>25</v>
      </c>
      <c r="B30" s="17"/>
      <c r="C30" s="17"/>
      <c r="F30" s="17" t="e">
        <f t="shared" si="5"/>
        <v>#REF!</v>
      </c>
      <c r="G30" s="17" t="e">
        <f t="shared" si="5"/>
        <v>#REF!</v>
      </c>
      <c r="H30" s="18"/>
      <c r="K30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Amount"",""1645.71000"",""Document Date"",""1/1/1900"",""Document Number"",""DD000000000000138264"",""Document Sequence"",""147456"",""Period ID"",""2"",""Posting Type"",""Profit and Loss"",""Reference"",""Payroll Computer Checks"",""Row ID"",""5194351"",""Segment"&amp;" 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Amount"",""1645.71000"",""Transaction Date"",""11/7/2"&amp;"024"",""Transaction Description"","""",""Vendor Name"",""ESPLIN, TAMMIE A."",""Vendor Number"",""927"",""Journal Entry"",""1571262"""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Amount","1645.71000","Document Date","1/1/1900","Document Number","DD000000000000138264","Document Sequence","147456","Period ID","2","Posting Type","Profit and Loss","Reference","Payroll Computer Checks","Row ID","5194351","Segment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Amount","1645.71000","Transaction Date","11/7/2024","Transaction Description","","Vendor Name","ESPLIN, TAMMIE A.","Vendor Number","927","Journal Entry","1571262"</v>
      </c>
      <c r="L30" s="19">
        <v>45603</v>
      </c>
      <c r="M30">
        <v>1571262</v>
      </c>
      <c r="N30" t="str">
        <f t="shared" si="2"/>
        <v>Payroll Check</v>
      </c>
      <c r="O30" t="str">
        <f>"DD000000000000138264"</f>
        <v>DD000000000000138264</v>
      </c>
      <c r="P30" t="str">
        <f t="shared" si="3"/>
        <v>Payroll Computer Checks</v>
      </c>
      <c r="Q30" s="20" t="str">
        <f>""</f>
        <v/>
      </c>
      <c r="R30" s="21">
        <v>1645.71</v>
      </c>
      <c r="S30" s="21">
        <v>0</v>
      </c>
      <c r="T30" s="22">
        <f t="shared" si="4"/>
        <v>1645.71</v>
      </c>
    </row>
    <row r="31" spans="1:20" x14ac:dyDescent="0.25">
      <c r="A31" s="1" t="s">
        <v>25</v>
      </c>
      <c r="B31" s="17"/>
      <c r="C31" s="17"/>
      <c r="F31" s="17" t="e">
        <f t="shared" si="5"/>
        <v>#REF!</v>
      </c>
      <c r="G31" s="17" t="e">
        <f t="shared" si="5"/>
        <v>#REF!</v>
      </c>
      <c r="H31" s="18"/>
      <c r="K31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Amount"",""158.88000"",""Document Date"",""1/1/1900"",""Document Number"",""DD000000000000138653"",""Document Sequence"",""163840"",""Period ID"",""2"",""Posting Type"",""Profit and Loss"",""Reference"",""Payroll Computer Checks"",""Row ID"",""5212038"",""Segment "&amp;"1"",""5021"",""Segment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5"","""","""&amp;"Segment 5 Description"","""",""Segment 6"","""",""Segment 6 Description"","""",""Segment 7"","""",""Segment 7 Description"","""",""Segment 8"","""",""Segment 8 Description"","""",""Segment 9"","""",""Segment 9 Description"","""",""Transaction Amount"",""158.88000"",""Transaction Date"",""11/21/20"&amp;"24"",""Transaction Description"","""",""Vendor Name"",""THACKER, STEPHANIE"",""Vendor Number"",""928"",""Journal Entry"",""1574842"""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Amount","158.88000","Document Date","1/1/1900","Document Number","DD000000000000138653","Document Sequence","163840","Period ID","2","Posting Type","Profit and Loss","Reference","Payroll Computer Checks","Row ID","5212038","Segment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Amount","158.88000","Transaction Date","11/21/2024","Transaction Description","","Vendor Name","THACKER, STEPHANIE","Vendor Number","928","Journal Entry","1574842"</v>
      </c>
      <c r="L31" s="19">
        <v>45617</v>
      </c>
      <c r="M31">
        <v>1574842</v>
      </c>
      <c r="N31" t="str">
        <f t="shared" si="2"/>
        <v>Payroll Check</v>
      </c>
      <c r="O31" t="str">
        <f>"DD000000000000138653"</f>
        <v>DD000000000000138653</v>
      </c>
      <c r="P31" t="str">
        <f t="shared" si="3"/>
        <v>Payroll Computer Checks</v>
      </c>
      <c r="Q31" s="20" t="str">
        <f>""</f>
        <v/>
      </c>
      <c r="R31" s="21">
        <v>158.88</v>
      </c>
      <c r="S31" s="21">
        <v>0</v>
      </c>
      <c r="T31" s="22">
        <f t="shared" si="4"/>
        <v>158.88</v>
      </c>
    </row>
    <row r="32" spans="1:20" x14ac:dyDescent="0.25">
      <c r="A32" s="1" t="s">
        <v>25</v>
      </c>
      <c r="B32" s="17"/>
      <c r="C32" s="17"/>
      <c r="F32" s="17" t="e">
        <f t="shared" si="5"/>
        <v>#REF!</v>
      </c>
      <c r="G32" s="17" t="e">
        <f t="shared" si="5"/>
        <v>#REF!</v>
      </c>
      <c r="H32" s="18"/>
      <c r="K32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Amount"",""411.46000"",""Document Date"",""1/1/1900"",""Document Number"",""DD000000000000138652"",""Document Sequence"",""131072"",""Period ID"",""2"",""Posting Type"",""Profit and Loss"",""Reference"",""Payroll Computer Checks"",""Row ID"",""5209468"",""Segment "&amp;"1"",""5021"",""Segment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5"","""","""&amp;"Segment 5 Description"","""",""Segment 6"","""",""Segment 6 Description"","""",""Segment 7"","""",""Segment 7 Description"","""",""Segment 8"","""",""Segment 8 Description"","""",""Segment 9"","""",""Segment 9 Description"","""",""Transaction Amount"",""411.46000"",""Transaction Date"",""11/21/20"&amp;"24"",""Transaction Description"","""",""Vendor Name"",""LAUB, REBECCA"",""Vendor Number"",""2772"",""Journal Entry"",""1574699"""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Amount","411.46000","Document Date","1/1/1900","Document Number","DD000000000000138652","Document Sequence","131072","Period ID","2","Posting Type","Profit and Loss","Reference","Payroll Computer Checks","Row ID","5209468","Segment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Amount","411.46000","Transaction Date","11/21/2024","Transaction Description","","Vendor Name","LAUB, REBECCA","Vendor Number","2772","Journal Entry","1574699"</v>
      </c>
      <c r="L32" s="19">
        <v>45617</v>
      </c>
      <c r="M32">
        <v>1574699</v>
      </c>
      <c r="N32" t="str">
        <f t="shared" si="2"/>
        <v>Payroll Check</v>
      </c>
      <c r="O32" t="str">
        <f>"DD000000000000138652"</f>
        <v>DD000000000000138652</v>
      </c>
      <c r="P32" t="str">
        <f t="shared" si="3"/>
        <v>Payroll Computer Checks</v>
      </c>
      <c r="Q32" s="20" t="str">
        <f>""</f>
        <v/>
      </c>
      <c r="R32" s="21">
        <v>411.46</v>
      </c>
      <c r="S32" s="21">
        <v>0</v>
      </c>
      <c r="T32" s="22">
        <f t="shared" si="4"/>
        <v>411.46</v>
      </c>
    </row>
    <row r="33" spans="1:20" x14ac:dyDescent="0.25">
      <c r="A33" s="1" t="s">
        <v>25</v>
      </c>
      <c r="B33" s="17"/>
      <c r="C33" s="17"/>
      <c r="F33" s="17" t="e">
        <f t="shared" si="5"/>
        <v>#REF!</v>
      </c>
      <c r="G33" s="17" t="e">
        <f t="shared" si="5"/>
        <v>#REF!</v>
      </c>
      <c r="H33" s="18"/>
      <c r="K33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Amount"",""1112.16000"",""Document Date"",""1/1/1900"",""Document Number"",""DD000000000000138653"",""Document Sequence"",""147456"",""Period ID"",""2"",""Posting Type"",""Profit and Loss"",""Reference"",""Payroll Computer Checks"",""Row ID"",""5212037"",""Segment"&amp;" 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Amount"",""1112.16000"",""Transaction Date"",""11/21/"&amp;"2024"",""Transaction Description"","""",""Vendor Name"",""THACKER, STEPHANIE"",""Vendor Number"",""928"",""Journal Entry"",""1574842"""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Amount","1112.16000","Document Date","1/1/1900","Document Number","DD000000000000138653","Document Sequence","147456","Period ID","2","Posting Type","Profit and Loss","Reference","Payroll Computer Checks","Row ID","5212037","Segment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Amount","1112.16000","Transaction Date","11/21/2024","Transaction Description","","Vendor Name","THACKER, STEPHANIE","Vendor Number","928","Journal Entry","1574842"</v>
      </c>
      <c r="L33" s="19">
        <v>45617</v>
      </c>
      <c r="M33">
        <v>1574842</v>
      </c>
      <c r="N33" t="str">
        <f t="shared" si="2"/>
        <v>Payroll Check</v>
      </c>
      <c r="O33" t="str">
        <f>"DD000000000000138653"</f>
        <v>DD000000000000138653</v>
      </c>
      <c r="P33" t="str">
        <f t="shared" si="3"/>
        <v>Payroll Computer Checks</v>
      </c>
      <c r="Q33" s="20" t="str">
        <f>""</f>
        <v/>
      </c>
      <c r="R33" s="21">
        <v>1112.1600000000001</v>
      </c>
      <c r="S33" s="21">
        <v>0</v>
      </c>
      <c r="T33" s="22">
        <f t="shared" si="4"/>
        <v>1112.1600000000001</v>
      </c>
    </row>
    <row r="34" spans="1:20" x14ac:dyDescent="0.25">
      <c r="A34" s="1" t="s">
        <v>25</v>
      </c>
      <c r="B34" s="17"/>
      <c r="C34" s="17"/>
      <c r="F34" s="17" t="e">
        <f t="shared" si="5"/>
        <v>#REF!</v>
      </c>
      <c r="G34" s="17" t="e">
        <f t="shared" si="5"/>
        <v>#REF!</v>
      </c>
      <c r="H34" s="18"/>
      <c r="K34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Amount"",""1730.83000"",""Document Date"",""1/1/1900"",""Document Number"",""DD000000000000138651"",""Document Sequence"",""147456"",""Period ID"",""2"",""Posting Type"",""Profit and Loss"",""Reference"",""Payroll Computer Checks"",""Row ID"",""5212019"",""Segment"&amp;" 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Amount"",""1730.83000"",""Transaction Date"",""11/21/"&amp;"2024"",""Transaction Description"","""",""Vendor Name"",""ESPLIN, TAMMIE A."",""Vendor Number"",""927"",""Journal Entry"",""1574841"""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Amount","1730.83000","Document Date","1/1/1900","Document Number","DD000000000000138651","Document Sequence","147456","Period ID","2","Posting Type","Profit and Loss","Reference","Payroll Computer Checks","Row ID","5212019","Segment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Amount","1730.83000","Transaction Date","11/21/2024","Transaction Description","","Vendor Name","ESPLIN, TAMMIE A.","Vendor Number","927","Journal Entry","1574841"</v>
      </c>
      <c r="L34" s="19">
        <v>45617</v>
      </c>
      <c r="M34">
        <v>1574841</v>
      </c>
      <c r="N34" t="str">
        <f t="shared" si="2"/>
        <v>Payroll Check</v>
      </c>
      <c r="O34" t="str">
        <f>"DD000000000000138651"</f>
        <v>DD000000000000138651</v>
      </c>
      <c r="P34" t="str">
        <f t="shared" si="3"/>
        <v>Payroll Computer Checks</v>
      </c>
      <c r="Q34" s="20" t="str">
        <f>""</f>
        <v/>
      </c>
      <c r="R34" s="21">
        <v>1730.83</v>
      </c>
      <c r="S34" s="21">
        <v>0</v>
      </c>
      <c r="T34" s="22">
        <f t="shared" si="4"/>
        <v>1730.83</v>
      </c>
    </row>
    <row r="35" spans="1:20" x14ac:dyDescent="0.25">
      <c r="A35" s="1" t="s">
        <v>25</v>
      </c>
      <c r="B35" s="17"/>
      <c r="C35" s="17"/>
      <c r="F35" s="17" t="e">
        <f t="shared" si="5"/>
        <v>#REF!</v>
      </c>
      <c r="G35" s="17" t="e">
        <f t="shared" si="5"/>
        <v>#REF!</v>
      </c>
      <c r="H35" s="18"/>
      <c r="K35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Amount"",""339.60000"",""Document Date"",""1/1/1900"",""Document Number"",""DD000000000000139028"",""Document Sequence"",""180224"",""Period ID"",""3"",""Posting Type"",""Profit and Loss"",""Reference"",""Payroll Computer Checks"",""Row ID"",""5224227"",""Segment "&amp;"1"",""5021"",""Segment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5"","""","""&amp;"Segment 5 Description"","""",""Segment 6"","""",""Segment 6 Description"","""",""Segment 7"","""",""Segment 7 Description"","""",""Segment 8"","""",""Segment 8 Description"","""",""Segment 9"","""",""Segment 9 Description"","""",""Transaction Amount"",""339.60000"",""Transaction Date"",""12/5/202"&amp;"4"",""Transaction Description"","""",""Vendor Name"",""THACKER, STEPHANIE"",""Vendor Number"",""928"",""Journal Entry"",""1576787"""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Amount","339.60000","Document Date","1/1/1900","Document Number","DD000000000000139028","Document Sequence","180224","Period ID","3","Posting Type","Profit and Loss","Reference","Payroll Computer Checks","Row ID","5224227","Segment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Amount","339.60000","Transaction Date","12/5/2024","Transaction Description","","Vendor Name","THACKER, STEPHANIE","Vendor Number","928","Journal Entry","1576787"</v>
      </c>
      <c r="L35" s="19">
        <v>45631</v>
      </c>
      <c r="M35">
        <v>1576787</v>
      </c>
      <c r="N35" t="str">
        <f t="shared" si="2"/>
        <v>Payroll Check</v>
      </c>
      <c r="O35" t="str">
        <f>"DD000000000000139028"</f>
        <v>DD000000000000139028</v>
      </c>
      <c r="P35" t="str">
        <f t="shared" si="3"/>
        <v>Payroll Computer Checks</v>
      </c>
      <c r="Q35" s="20" t="str">
        <f>""</f>
        <v/>
      </c>
      <c r="R35" s="21">
        <v>339.6</v>
      </c>
      <c r="S35" s="21">
        <v>0</v>
      </c>
      <c r="T35" s="22">
        <f t="shared" si="4"/>
        <v>339.6</v>
      </c>
    </row>
    <row r="36" spans="1:20" x14ac:dyDescent="0.25">
      <c r="A36" s="1" t="s">
        <v>25</v>
      </c>
      <c r="B36" s="17"/>
      <c r="C36" s="17"/>
      <c r="F36" s="17" t="e">
        <f t="shared" si="5"/>
        <v>#REF!</v>
      </c>
      <c r="G36" s="17" t="e">
        <f t="shared" si="5"/>
        <v>#REF!</v>
      </c>
      <c r="H36" s="18"/>
      <c r="K36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Amount"",""448.00000"",""Document Date"",""1/1/1900"",""Document Number"",""DD000000000000139027"",""Document Sequence"",""131072"",""Period ID"",""3"",""Posting Type"",""Profit and Loss"",""Reference"",""Payroll Computer Checks"",""Row ID"",""5221659"",""Segment "&amp;"1"",""5021"",""Segment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5"","""","""&amp;"Segment 5 Description"","""",""Segment 6"","""",""Segment 6 Description"","""",""Segment 7"","""",""Segment 7 Description"","""",""Segment 8"","""",""Segment 8 Description"","""",""Segment 9"","""",""Segment 9 Description"","""",""Transaction Amount"",""448.00000"",""Transaction Date"",""12/5/202"&amp;"4"",""Transaction Description"","""",""Vendor Name"",""LAUB, REBECCA"",""Vendor Number"",""2772"",""Journal Entry"",""1576647"""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Amount","448.00000","Document Date","1/1/1900","Document Number","DD000000000000139027","Document Sequence","131072","Period ID","3","Posting Type","Profit and Loss","Reference","Payroll Computer Checks","Row ID","5221659","Segment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Amount","448.00000","Transaction Date","12/5/2024","Transaction Description","","Vendor Name","LAUB, REBECCA","Vendor Number","2772","Journal Entry","1576647"</v>
      </c>
      <c r="L36" s="19">
        <v>45631</v>
      </c>
      <c r="M36">
        <v>1576647</v>
      </c>
      <c r="N36" t="str">
        <f t="shared" si="2"/>
        <v>Payroll Check</v>
      </c>
      <c r="O36" t="str">
        <f>"DD000000000000139027"</f>
        <v>DD000000000000139027</v>
      </c>
      <c r="P36" t="str">
        <f t="shared" si="3"/>
        <v>Payroll Computer Checks</v>
      </c>
      <c r="Q36" s="20" t="str">
        <f>""</f>
        <v/>
      </c>
      <c r="R36" s="21">
        <v>448</v>
      </c>
      <c r="S36" s="21">
        <v>0</v>
      </c>
      <c r="T36" s="22">
        <f t="shared" si="4"/>
        <v>448</v>
      </c>
    </row>
    <row r="37" spans="1:20" x14ac:dyDescent="0.25">
      <c r="A37" s="1" t="s">
        <v>25</v>
      </c>
      <c r="B37" s="17"/>
      <c r="C37" s="17"/>
      <c r="F37" s="17" t="e">
        <f t="shared" si="5"/>
        <v>#REF!</v>
      </c>
      <c r="G37" s="17" t="e">
        <f t="shared" si="5"/>
        <v>#REF!</v>
      </c>
      <c r="H37" s="18"/>
      <c r="K37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Amount"",""453.99000"",""Document Date"",""1/1/1900"",""Document Number"",""DD000000000000139026"",""Document Sequence"",""180224"",""Period ID"",""3"",""Posting Type"",""Profit and Loss"",""Reference"",""Payroll Computer Checks"",""Row ID"",""5224207"",""Segment "&amp;"1"",""5021"",""Segment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5"","""","""&amp;"Segment 5 Description"","""",""Segment 6"","""",""Segment 6 Description"","""",""Segment 7"","""",""Segment 7 Description"","""",""Segment 8"","""",""Segment 8 Description"","""",""Segment 9"","""",""Segment 9 Description"","""",""Transaction Amount"",""453.99000"",""Transaction Date"",""12/5/202"&amp;"4"",""Transaction Description"","""",""Vendor Name"",""ESPLIN, TAMMIE A."",""Vendor Number"",""927"",""Journal Entry"",""1576786"""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Amount","453.99000","Document Date","1/1/1900","Document Number","DD000000000000139026","Document Sequence","180224","Period ID","3","Posting Type","Profit and Loss","Reference","Payroll Computer Checks","Row ID","5224207","Segment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Amount","453.99000","Transaction Date","12/5/2024","Transaction Description","","Vendor Name","ESPLIN, TAMMIE A.","Vendor Number","927","Journal Entry","1576786"</v>
      </c>
      <c r="L37" s="19">
        <v>45631</v>
      </c>
      <c r="M37">
        <v>1576786</v>
      </c>
      <c r="N37" t="str">
        <f t="shared" si="2"/>
        <v>Payroll Check</v>
      </c>
      <c r="O37" t="str">
        <f>"DD000000000000139026"</f>
        <v>DD000000000000139026</v>
      </c>
      <c r="P37" t="str">
        <f t="shared" si="3"/>
        <v>Payroll Computer Checks</v>
      </c>
      <c r="Q37" s="20" t="str">
        <f>""</f>
        <v/>
      </c>
      <c r="R37" s="21">
        <v>453.99</v>
      </c>
      <c r="S37" s="21">
        <v>0</v>
      </c>
      <c r="T37" s="22">
        <f t="shared" si="4"/>
        <v>453.99</v>
      </c>
    </row>
    <row r="38" spans="1:20" x14ac:dyDescent="0.25">
      <c r="A38" s="1" t="s">
        <v>25</v>
      </c>
      <c r="B38" s="17"/>
      <c r="C38" s="17"/>
      <c r="F38" s="17" t="e">
        <f t="shared" si="5"/>
        <v>#REF!</v>
      </c>
      <c r="G38" s="17" t="e">
        <f t="shared" si="5"/>
        <v>#REF!</v>
      </c>
      <c r="H38" s="18"/>
      <c r="K38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Amount"",""1000.00000"",""Document Date"",""1/1/1900"",""Document Number"",""DD000000000000139026"",""Document Sequence"",""196608"",""Period ID"",""3"",""Posting Type"",""Profit and Loss"",""Reference"",""Payroll Computer Checks"",""Row ID"",""5224208"",""Segment"&amp;" 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Amount"",""1000.00000"",""Transaction Date"",""12/5/2"&amp;"024"",""Transaction Description"","""",""Vendor Name"",""ESPLIN, TAMMIE A."",""Vendor Number"",""927"",""Journal Entry"",""1576786"""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Amount","1000.00000","Document Date","1/1/1900","Document Number","DD000000000000139026","Document Sequence","196608","Period ID","3","Posting Type","Profit and Loss","Reference","Payroll Computer Checks","Row ID","5224208","Segment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Amount","1000.00000","Transaction Date","12/5/2024","Transaction Description","","Vendor Name","ESPLIN, TAMMIE A.","Vendor Number","927","Journal Entry","1576786"</v>
      </c>
      <c r="L38" s="19">
        <v>45631</v>
      </c>
      <c r="M38">
        <v>1576786</v>
      </c>
      <c r="N38" t="str">
        <f t="shared" si="2"/>
        <v>Payroll Check</v>
      </c>
      <c r="O38" t="str">
        <f>"DD000000000000139026"</f>
        <v>DD000000000000139026</v>
      </c>
      <c r="P38" t="str">
        <f t="shared" si="3"/>
        <v>Payroll Computer Checks</v>
      </c>
      <c r="Q38" s="20" t="str">
        <f>""</f>
        <v/>
      </c>
      <c r="R38" s="21">
        <v>1000</v>
      </c>
      <c r="S38" s="21">
        <v>0</v>
      </c>
      <c r="T38" s="22">
        <f t="shared" si="4"/>
        <v>1000</v>
      </c>
    </row>
    <row r="39" spans="1:20" x14ac:dyDescent="0.25">
      <c r="A39" s="1" t="s">
        <v>25</v>
      </c>
      <c r="B39" s="17"/>
      <c r="C39" s="17"/>
      <c r="F39" s="17" t="e">
        <f t="shared" si="5"/>
        <v>#REF!</v>
      </c>
      <c r="G39" s="17" t="e">
        <f t="shared" si="5"/>
        <v>#REF!</v>
      </c>
      <c r="H39" s="18"/>
      <c r="K39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Amount"",""1000.00000"",""Document Date"",""1/1/1900"",""Document Number"",""DD000000000000139028"",""Document Sequence"",""163840"",""Period ID"",""3"",""Posting Type"",""Profit and Loss"",""Reference"",""Payroll Computer Checks"",""Row ID"",""5224226"",""Segment"&amp;" 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Amount"",""1000.00000"",""Transaction Date"",""12/5/2"&amp;"024"",""Transaction Description"","""",""Vendor Name"",""THACKER, STEPHANIE"",""Vendor Number"",""928"",""Journal Entry"",""1576787"""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Amount","1000.00000","Document Date","1/1/1900","Document Number","DD000000000000139028","Document Sequence","163840","Period ID","3","Posting Type","Profit and Loss","Reference","Payroll Computer Checks","Row ID","5224226","Segment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Amount","1000.00000","Transaction Date","12/5/2024","Transaction Description","","Vendor Name","THACKER, STEPHANIE","Vendor Number","928","Journal Entry","1576787"</v>
      </c>
      <c r="L39" s="19">
        <v>45631</v>
      </c>
      <c r="M39">
        <v>1576787</v>
      </c>
      <c r="N39" t="str">
        <f t="shared" si="2"/>
        <v>Payroll Check</v>
      </c>
      <c r="O39" t="str">
        <f>"DD000000000000139028"</f>
        <v>DD000000000000139028</v>
      </c>
      <c r="P39" t="str">
        <f t="shared" si="3"/>
        <v>Payroll Computer Checks</v>
      </c>
      <c r="Q39" s="20" t="str">
        <f>""</f>
        <v/>
      </c>
      <c r="R39" s="21">
        <v>1000</v>
      </c>
      <c r="S39" s="21">
        <v>0</v>
      </c>
      <c r="T39" s="22">
        <f t="shared" si="4"/>
        <v>1000</v>
      </c>
    </row>
    <row r="40" spans="1:20" x14ac:dyDescent="0.25">
      <c r="A40" s="1" t="s">
        <v>25</v>
      </c>
      <c r="B40" s="17"/>
      <c r="C40" s="17"/>
      <c r="F40" s="17" t="e">
        <f t="shared" si="5"/>
        <v>#REF!</v>
      </c>
      <c r="G40" s="17" t="e">
        <f t="shared" si="5"/>
        <v>#REF!</v>
      </c>
      <c r="H40" s="18"/>
      <c r="K40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Amount"",""1271.04000"",""Document Date"",""1/1/1900"",""Document Number"",""DD000000000000139028"",""Document Sequence"",""147456"",""Period ID"",""3"",""Posting Type"",""Profit and Loss"",""Reference"",""Payroll Computer Checks"",""Row ID"",""5224225"",""Segment"&amp;" 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Amount"",""1271.04000"",""Transaction Date"",""12/5/2"&amp;"024"",""Transaction Description"","""",""Vendor Name"",""THACKER, STEPHANIE"",""Vendor Number"",""928"",""Journal Entry"",""1576787"""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Amount","1271.04000","Document Date","1/1/1900","Document Number","DD000000000000139028","Document Sequence","147456","Period ID","3","Posting Type","Profit and Loss","Reference","Payroll Computer Checks","Row ID","5224225","Segment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Amount","1271.04000","Transaction Date","12/5/2024","Transaction Description","","Vendor Name","THACKER, STEPHANIE","Vendor Number","928","Journal Entry","1576787"</v>
      </c>
      <c r="L40" s="19">
        <v>45631</v>
      </c>
      <c r="M40">
        <v>1576787</v>
      </c>
      <c r="N40" t="str">
        <f t="shared" si="2"/>
        <v>Payroll Check</v>
      </c>
      <c r="O40" t="str">
        <f>"DD000000000000139028"</f>
        <v>DD000000000000139028</v>
      </c>
      <c r="P40" t="str">
        <f t="shared" si="3"/>
        <v>Payroll Computer Checks</v>
      </c>
      <c r="Q40" s="20" t="str">
        <f>""</f>
        <v/>
      </c>
      <c r="R40" s="21">
        <v>1271.04</v>
      </c>
      <c r="S40" s="21">
        <v>0</v>
      </c>
      <c r="T40" s="22">
        <f t="shared" si="4"/>
        <v>1271.04</v>
      </c>
    </row>
    <row r="41" spans="1:20" x14ac:dyDescent="0.25">
      <c r="A41" s="1" t="s">
        <v>25</v>
      </c>
      <c r="B41" s="17"/>
      <c r="C41" s="17"/>
      <c r="F41" s="17" t="e">
        <f t="shared" si="5"/>
        <v>#REF!</v>
      </c>
      <c r="G41" s="17" t="e">
        <f t="shared" si="5"/>
        <v>#REF!</v>
      </c>
      <c r="H41" s="18"/>
      <c r="K41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Amount"",""1361.97000"",""Document Date"",""1/1/1900"",""Document Number"",""DD000000000000139026"",""Document Sequence"",""147456"",""Period ID"",""3"",""Posting Type"",""Profit and Loss"",""Reference"",""Payroll Computer Checks"",""Row ID"",""5224206"",""Segment"&amp;" 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Amount"",""1361.97000"",""Transaction Date"",""12/5/2"&amp;"024"",""Transaction Description"","""",""Vendor Name"",""ESPLIN, TAMMIE A."",""Vendor Number"",""927"",""Journal Entry"",""1576786"""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Amount","1361.97000","Document Date","1/1/1900","Document Number","DD000000000000139026","Document Sequence","147456","Period ID","3","Posting Type","Profit and Loss","Reference","Payroll Computer Checks","Row ID","5224206","Segment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Amount","1361.97000","Transaction Date","12/5/2024","Transaction Description","","Vendor Name","ESPLIN, TAMMIE A.","Vendor Number","927","Journal Entry","1576786"</v>
      </c>
      <c r="L41" s="19">
        <v>45631</v>
      </c>
      <c r="M41">
        <v>1576786</v>
      </c>
      <c r="N41" t="str">
        <f t="shared" si="2"/>
        <v>Payroll Check</v>
      </c>
      <c r="O41" t="str">
        <f>"DD000000000000139026"</f>
        <v>DD000000000000139026</v>
      </c>
      <c r="P41" t="str">
        <f t="shared" si="3"/>
        <v>Payroll Computer Checks</v>
      </c>
      <c r="Q41" s="20" t="str">
        <f>""</f>
        <v/>
      </c>
      <c r="R41" s="21">
        <v>1361.97</v>
      </c>
      <c r="S41" s="21">
        <v>0</v>
      </c>
      <c r="T41" s="22">
        <f t="shared" si="4"/>
        <v>1361.97</v>
      </c>
    </row>
    <row r="42" spans="1:20" x14ac:dyDescent="0.25">
      <c r="A42" s="1" t="s">
        <v>25</v>
      </c>
      <c r="B42" s="17"/>
      <c r="C42" s="17"/>
      <c r="F42" s="17" t="e">
        <f t="shared" si="5"/>
        <v>#REF!</v>
      </c>
      <c r="G42" s="17" t="e">
        <f t="shared" si="5"/>
        <v>#REF!</v>
      </c>
      <c r="H42" s="18"/>
      <c r="K42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Amount"",""214.80000"",""Document Date"",""1/1/1900"",""Document Number"",""DD000000000000139500"",""Document Sequence"",""163840"",""Period ID"",""3"",""Posting Type"",""Profit and Loss"",""Reference"",""Payroll Computer Checks"",""Row ID"",""5240756"",""Segment "&amp;"1"",""5021"",""Segment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5"","""","""&amp;"Segment 5 Description"","""",""Segment 6"","""",""Segment 6 Description"","""",""Segment 7"","""",""Segment 7 Description"","""",""Segment 8"","""",""Segment 8 Description"","""",""Segment 9"","""",""Segment 9 Description"","""",""Transaction Amount"",""214.80000"",""Transaction Date"",""12/19/20"&amp;"24"",""Transaction Description"","""",""Vendor Name"",""THACKER, STEPHANIE"",""Vendor Number"",""928"",""Journal Entry"",""1579876"""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Amount","214.80000","Document Date","1/1/1900","Document Number","DD000000000000139500","Document Sequence","163840","Period ID","3","Posting Type","Profit and Loss","Reference","Payroll Computer Checks","Row ID","5240756","Segment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Amount","214.80000","Transaction Date","12/19/2024","Transaction Description","","Vendor Name","THACKER, STEPHANIE","Vendor Number","928","Journal Entry","1579876"</v>
      </c>
      <c r="L42" s="19">
        <v>45645</v>
      </c>
      <c r="M42">
        <v>1579876</v>
      </c>
      <c r="N42" t="str">
        <f t="shared" si="2"/>
        <v>Payroll Check</v>
      </c>
      <c r="O42" t="str">
        <f>"DD000000000000139500"</f>
        <v>DD000000000000139500</v>
      </c>
      <c r="P42" t="str">
        <f t="shared" si="3"/>
        <v>Payroll Computer Checks</v>
      </c>
      <c r="Q42" s="20" t="str">
        <f>""</f>
        <v/>
      </c>
      <c r="R42" s="21">
        <v>214.8</v>
      </c>
      <c r="S42" s="21">
        <v>0</v>
      </c>
      <c r="T42" s="22">
        <f t="shared" si="4"/>
        <v>214.8</v>
      </c>
    </row>
    <row r="43" spans="1:20" x14ac:dyDescent="0.25">
      <c r="A43" s="1" t="s">
        <v>25</v>
      </c>
      <c r="B43" s="17"/>
      <c r="C43" s="17"/>
      <c r="F43" s="17" t="e">
        <f t="shared" si="5"/>
        <v>#REF!</v>
      </c>
      <c r="G43" s="17" t="e">
        <f t="shared" si="5"/>
        <v>#REF!</v>
      </c>
      <c r="H43" s="18"/>
      <c r="K43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Amount"",""350.70000"",""Document Date"",""1/1/1900"",""Document Number"",""DD000000000000139499"",""Document Sequence"",""131072"",""Period ID"",""3"",""Posting Type"",""Profit and Loss"",""Reference"",""Payroll Computer Checks"",""Row ID"",""5238366"",""Segment "&amp;"1"",""5021"",""Segment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5"","""","""&amp;"Segment 5 Description"","""",""Segment 6"","""",""Segment 6 Description"","""",""Segment 7"","""",""Segment 7 Description"","""",""Segment 8"","""",""Segment 8 Description"","""",""Segment 9"","""",""Segment 9 Description"","""",""Transaction Amount"",""350.70000"",""Transaction Date"",""12/19/20"&amp;"24"",""Transaction Description"","""",""Vendor Name"",""LAUB, REBECCA"",""Vendor Number"",""2772"",""Journal Entry"",""1579736"""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Amount","350.70000","Document Date","1/1/1900","Document Number","DD000000000000139499","Document Sequence","131072","Period ID","3","Posting Type","Profit and Loss","Reference","Payroll Computer Checks","Row ID","5238366","Segment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Amount","350.70000","Transaction Date","12/19/2024","Transaction Description","","Vendor Name","LAUB, REBECCA","Vendor Number","2772","Journal Entry","1579736"</v>
      </c>
      <c r="L43" s="19">
        <v>45645</v>
      </c>
      <c r="M43">
        <v>1579736</v>
      </c>
      <c r="N43" t="str">
        <f t="shared" si="2"/>
        <v>Payroll Check</v>
      </c>
      <c r="O43" t="str">
        <f>"DD000000000000139499"</f>
        <v>DD000000000000139499</v>
      </c>
      <c r="P43" t="str">
        <f t="shared" si="3"/>
        <v>Payroll Computer Checks</v>
      </c>
      <c r="Q43" s="20" t="str">
        <f>""</f>
        <v/>
      </c>
      <c r="R43" s="21">
        <v>350.7</v>
      </c>
      <c r="S43" s="21">
        <v>0</v>
      </c>
      <c r="T43" s="22">
        <f t="shared" si="4"/>
        <v>350.7</v>
      </c>
    </row>
    <row r="44" spans="1:20" x14ac:dyDescent="0.25">
      <c r="A44" s="1" t="s">
        <v>25</v>
      </c>
      <c r="B44" s="17"/>
      <c r="C44" s="17"/>
      <c r="F44" s="17" t="e">
        <f t="shared" si="5"/>
        <v>#REF!</v>
      </c>
      <c r="G44" s="17" t="e">
        <f t="shared" si="5"/>
        <v>#REF!</v>
      </c>
      <c r="H44" s="18"/>
      <c r="K44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Amount"",""1321.60000"",""Document Date"",""1/1/1900"",""Document Number"",""DD000000000000139500"",""Document Sequence"",""147456"",""Period ID"",""3"",""Posting Type"",""Profit and Loss"",""Reference"",""Payroll Computer Checks"",""Row ID"",""5240755"",""Segment"&amp;" 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Amount"",""1321.60000"",""Transaction Date"",""12/19/"&amp;"2024"",""Transaction Description"","""",""Vendor Name"",""THACKER, STEPHANIE"",""Vendor Number"",""928"",""Journal Entry"",""1579876"""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Amount","1321.60000","Document Date","1/1/1900","Document Number","DD000000000000139500","Document Sequence","147456","Period ID","3","Posting Type","Profit and Loss","Reference","Payroll Computer Checks","Row ID","5240755","Segment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Amount","1321.60000","Transaction Date","12/19/2024","Transaction Description","","Vendor Name","THACKER, STEPHANIE","Vendor Number","928","Journal Entry","1579876"</v>
      </c>
      <c r="L44" s="19">
        <v>45645</v>
      </c>
      <c r="M44">
        <v>1579876</v>
      </c>
      <c r="N44" t="str">
        <f t="shared" si="2"/>
        <v>Payroll Check</v>
      </c>
      <c r="O44" t="str">
        <f>"DD000000000000139500"</f>
        <v>DD000000000000139500</v>
      </c>
      <c r="P44" t="str">
        <f t="shared" si="3"/>
        <v>Payroll Computer Checks</v>
      </c>
      <c r="Q44" s="20" t="str">
        <f>""</f>
        <v/>
      </c>
      <c r="R44" s="21">
        <v>1321.6</v>
      </c>
      <c r="S44" s="21">
        <v>0</v>
      </c>
      <c r="T44" s="22">
        <f t="shared" si="4"/>
        <v>1321.6</v>
      </c>
    </row>
    <row r="45" spans="1:20" x14ac:dyDescent="0.25">
      <c r="A45" s="1" t="s">
        <v>25</v>
      </c>
      <c r="B45" s="17"/>
      <c r="C45" s="17"/>
      <c r="F45" s="17" t="e">
        <f t="shared" si="5"/>
        <v>#REF!</v>
      </c>
      <c r="G45" s="17" t="e">
        <f t="shared" si="5"/>
        <v>#REF!</v>
      </c>
      <c r="H45" s="18"/>
      <c r="K45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Amount"",""1815.96000"",""Document Date"",""1/1/1900"",""Document Number"",""DD000000000000139498"",""Document Sequence"",""147456"",""Period ID"",""3"",""Posting Type"",""Profit and Loss"",""Reference"",""Payroll Computer Checks"",""Row ID"",""5240738"",""Segment"&amp;" 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Amount"",""1815.96000"",""Transaction Date"",""12/19/"&amp;"2024"",""Transaction Description"","""",""Vendor Name"",""ESPLIN, TAMMIE A."",""Vendor Number"",""927"",""Journal Entry"",""1579875"""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Amount","1815.96000","Document Date","1/1/1900","Document Number","DD000000000000139498","Document Sequence","147456","Period ID","3","Posting Type","Profit and Loss","Reference","Payroll Computer Checks","Row ID","5240738","Segment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Amount","1815.96000","Transaction Date","12/19/2024","Transaction Description","","Vendor Name","ESPLIN, TAMMIE A.","Vendor Number","927","Journal Entry","1579875"</v>
      </c>
      <c r="L45" s="19">
        <v>45645</v>
      </c>
      <c r="M45">
        <v>1579875</v>
      </c>
      <c r="N45" t="str">
        <f t="shared" si="2"/>
        <v>Payroll Check</v>
      </c>
      <c r="O45" t="str">
        <f>"DD000000000000139498"</f>
        <v>DD000000000000139498</v>
      </c>
      <c r="P45" t="str">
        <f t="shared" si="3"/>
        <v>Payroll Computer Checks</v>
      </c>
      <c r="Q45" s="20" t="str">
        <f>""</f>
        <v/>
      </c>
      <c r="R45" s="21">
        <v>1815.96</v>
      </c>
      <c r="S45" s="21">
        <v>0</v>
      </c>
      <c r="T45" s="22">
        <f t="shared" si="4"/>
        <v>1815.96</v>
      </c>
    </row>
    <row r="46" spans="1:20" x14ac:dyDescent="0.25">
      <c r="A46" s="1" t="s">
        <v>25</v>
      </c>
      <c r="B46" s="17"/>
      <c r="C46" s="17"/>
      <c r="F46" s="17" t="e">
        <f t="shared" si="5"/>
        <v>#REF!</v>
      </c>
      <c r="G46" s="17" t="e">
        <f t="shared" si="5"/>
        <v>#REF!</v>
      </c>
      <c r="H46" s="18"/>
      <c r="K46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Amount"",""10027.50000"",""Document Date"",""1/1/1900"",""Document Number"",""DD000000000000139500"",""Document Sequence"",""180224"",""Period ID"",""3"",""Posting Type"",""Profit and Loss"",""Reference"",""Payroll Computer Checks"",""Row ID"",""5240757"",""Segmen"&amp;"t 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Amount"",""10027.50000"",""Transaction Date"",""12/1"&amp;"9/2024"",""Transaction Description"","""",""Vendor Name"",""THACKER, STEPHANIE"",""Vendor Number"",""928"",""Journal Entry"",""1579876"""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Amount","10027.50000","Document Date","1/1/1900","Document Number","DD000000000000139500","Document Sequence","180224","Period ID","3","Posting Type","Profit and Loss","Reference","Payroll Computer Checks","Row ID","5240757","Segment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Amount","10027.50000","Transaction Date","12/19/2024","Transaction Description","","Vendor Name","THACKER, STEPHANIE","Vendor Number","928","Journal Entry","1579876"</v>
      </c>
      <c r="L46" s="19">
        <v>45645</v>
      </c>
      <c r="M46">
        <v>1579876</v>
      </c>
      <c r="N46" t="str">
        <f t="shared" si="2"/>
        <v>Payroll Check</v>
      </c>
      <c r="O46" t="str">
        <f>"DD000000000000139500"</f>
        <v>DD000000000000139500</v>
      </c>
      <c r="P46" t="str">
        <f t="shared" si="3"/>
        <v>Payroll Computer Checks</v>
      </c>
      <c r="Q46" s="20" t="str">
        <f>""</f>
        <v/>
      </c>
      <c r="R46" s="21">
        <v>10027.5</v>
      </c>
      <c r="S46" s="21">
        <v>0</v>
      </c>
      <c r="T46" s="22">
        <f t="shared" si="4"/>
        <v>10027.5</v>
      </c>
    </row>
    <row r="47" spans="1:20" x14ac:dyDescent="0.25">
      <c r="A47" s="1" t="s">
        <v>25</v>
      </c>
      <c r="B47" s="17"/>
      <c r="C47" s="17"/>
      <c r="F47" s="17" t="e">
        <f t="shared" si="5"/>
        <v>#REF!</v>
      </c>
      <c r="G47" s="17" t="e">
        <f t="shared" si="5"/>
        <v>#REF!</v>
      </c>
      <c r="H47" s="18"/>
      <c r="K47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Amount"",""728.00000"",""Document Date"",""1/1/1900"",""Document Number"",""DD000000000000139877"",""Document Sequence"",""147456"",""Period ID"",""3"",""Posting Type"",""Profit and Loss"",""Reference"",""Payroll Computer Checks"",""Row ID"",""5247167"",""Segment "&amp;"1"",""5021"",""Segment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5"","""","""&amp;"Segment 5 Description"","""",""Segment 6"","""",""Segment 6 Description"","""",""Segment 7"","""",""Segment 7 Description"","""",""Segment 8"","""",""Segment 8 Description"","""",""Segment 9"","""",""Segment 9 Description"","""",""Transaction Amount"",""728.00000"",""Transaction Date"",""12/30/20"&amp;"24"",""Transaction Description"","""",""Vendor Name"",""LAUB, REBECCA"",""Vendor Number"",""2772"",""Journal Entry"",""1580806"""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Amount","728.00000","Document Date","1/1/1900","Document Number","DD000000000000139877","Document Sequence","147456","Period ID","3","Posting Type","Profit and Loss","Reference","Payroll Computer Checks","Row ID","5247167","Segment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Amount","728.00000","Transaction Date","12/30/2024","Transaction Description","","Vendor Name","LAUB, REBECCA","Vendor Number","2772","Journal Entry","1580806"</v>
      </c>
      <c r="L47" s="19">
        <v>45656</v>
      </c>
      <c r="M47">
        <v>1580806</v>
      </c>
      <c r="N47" t="str">
        <f t="shared" si="2"/>
        <v>Payroll Check</v>
      </c>
      <c r="O47" t="str">
        <f>"DD000000000000139877"</f>
        <v>DD000000000000139877</v>
      </c>
      <c r="P47" t="str">
        <f t="shared" si="3"/>
        <v>Payroll Computer Checks</v>
      </c>
      <c r="Q47" s="20" t="str">
        <f>""</f>
        <v/>
      </c>
      <c r="R47" s="21">
        <v>728</v>
      </c>
      <c r="S47" s="21">
        <v>0</v>
      </c>
      <c r="T47" s="22">
        <f t="shared" si="4"/>
        <v>728</v>
      </c>
    </row>
    <row r="48" spans="1:20" x14ac:dyDescent="0.25">
      <c r="A48" s="1" t="s">
        <v>25</v>
      </c>
      <c r="B48" s="17"/>
      <c r="C48" s="17"/>
      <c r="F48" s="17" t="e">
        <f t="shared" si="5"/>
        <v>#REF!</v>
      </c>
      <c r="G48" s="17" t="e">
        <f t="shared" si="5"/>
        <v>#REF!</v>
      </c>
      <c r="H48" s="18"/>
      <c r="K48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Amount"",""907.98000"",""Document Date"",""1/1/1900"",""Document Number"",""DD000000000000139876"",""Document Sequence"",""147456"",""Period ID"",""3"",""Posting Type"",""Profit and Loss"",""Reference"",""Payroll Computer Checks"",""Row ID"",""5249509"",""Segment "&amp;"1"",""5021"",""Segment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5"","""","""&amp;"Segment 5 Description"","""",""Segment 6"","""",""Segment 6 Description"","""",""Segment 7"","""",""Segment 7 Description"","""",""Segment 8"","""",""Segment 8 Description"","""",""Segment 9"","""",""Segment 9 Description"","""",""Transaction Amount"",""907.98000"",""Transaction Date"",""12/30/20"&amp;"24"",""Transaction Description"","""",""Vendor Name"",""ESPLIN, TAMMIE A."",""Vendor Number"",""927"",""Journal Entry"",""1580939"""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Amount","907.98000","Document Date","1/1/1900","Document Number","DD000000000000139876","Document Sequence","147456","Period ID","3","Posting Type","Profit and Loss","Reference","Payroll Computer Checks","Row ID","5249509","Segment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Amount","907.98000","Transaction Date","12/30/2024","Transaction Description","","Vendor Name","ESPLIN, TAMMIE A.","Vendor Number","927","Journal Entry","1580939"</v>
      </c>
      <c r="L48" s="19">
        <v>45656</v>
      </c>
      <c r="M48">
        <v>1580939</v>
      </c>
      <c r="N48" t="str">
        <f t="shared" si="2"/>
        <v>Payroll Check</v>
      </c>
      <c r="O48" t="str">
        <f>"DD000000000000139876"</f>
        <v>DD000000000000139876</v>
      </c>
      <c r="P48" t="str">
        <f t="shared" si="3"/>
        <v>Payroll Computer Checks</v>
      </c>
      <c r="Q48" s="20" t="str">
        <f>""</f>
        <v/>
      </c>
      <c r="R48" s="21">
        <v>907.98</v>
      </c>
      <c r="S48" s="21">
        <v>0</v>
      </c>
      <c r="T48" s="22">
        <f t="shared" si="4"/>
        <v>907.98</v>
      </c>
    </row>
    <row r="49" spans="1:20" x14ac:dyDescent="0.25">
      <c r="A49" s="1" t="s">
        <v>25</v>
      </c>
      <c r="B49" s="17"/>
      <c r="C49" s="17"/>
      <c r="F49" s="17" t="e">
        <f t="shared" si="5"/>
        <v>#REF!</v>
      </c>
      <c r="G49" s="17" t="e">
        <f t="shared" si="5"/>
        <v>#REF!</v>
      </c>
      <c r="H49" s="18"/>
      <c r="K49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Amount"",""907.98000"",""Document Date"",""1/1/1900"",""Document Number"",""DD000000000000139876"",""Document Sequence"",""180224"",""Period ID"",""3"",""Posting Type"",""Profit and Loss"",""Reference"",""Payroll Computer Checks"",""Row ID"",""5249510"",""Segment "&amp;"1"",""5021"",""Segment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5"","""","""&amp;"Segment 5 Description"","""",""Segment 6"","""",""Segment 6 Description"","""",""Segment 7"","""",""Segment 7 Description"","""",""Segment 8"","""",""Segment 8 Description"","""",""Segment 9"","""",""Segment 9 Description"","""",""Transaction Amount"",""907.98000"",""Transaction Date"",""12/30/20"&amp;"24"",""Transaction Description"","""",""Vendor Name"",""ESPLIN, TAMMIE A."",""Vendor Number"",""927"",""Journal Entry"",""1580939"""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Amount","907.98000","Document Date","1/1/1900","Document Number","DD000000000000139876","Document Sequence","180224","Period ID","3","Posting Type","Profit and Loss","Reference","Payroll Computer Checks","Row ID","5249510","Segment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Amount","907.98000","Transaction Date","12/30/2024","Transaction Description","","Vendor Name","ESPLIN, TAMMIE A.","Vendor Number","927","Journal Entry","1580939"</v>
      </c>
      <c r="L49" s="19">
        <v>45656</v>
      </c>
      <c r="M49">
        <v>1580939</v>
      </c>
      <c r="N49" t="str">
        <f t="shared" si="2"/>
        <v>Payroll Check</v>
      </c>
      <c r="O49" t="str">
        <f>"DD000000000000139876"</f>
        <v>DD000000000000139876</v>
      </c>
      <c r="P49" t="str">
        <f t="shared" si="3"/>
        <v>Payroll Computer Checks</v>
      </c>
      <c r="Q49" s="20" t="str">
        <f>""</f>
        <v/>
      </c>
      <c r="R49" s="21">
        <v>907.98</v>
      </c>
      <c r="S49" s="21">
        <v>0</v>
      </c>
      <c r="T49" s="22">
        <f t="shared" si="4"/>
        <v>907.98</v>
      </c>
    </row>
    <row r="50" spans="1:20" x14ac:dyDescent="0.25">
      <c r="A50" s="1" t="s">
        <v>25</v>
      </c>
      <c r="B50" s="17"/>
      <c r="C50" s="17"/>
      <c r="F50" s="17" t="e">
        <f t="shared" si="5"/>
        <v>#REF!</v>
      </c>
      <c r="G50" s="17" t="e">
        <f t="shared" si="5"/>
        <v>#REF!</v>
      </c>
      <c r="H50" s="18"/>
      <c r="K50" t="str">
        <f>"""GP"",""Ute Indian Tribe Membership Fund"",""Jet GL Transactions"",""Account Category Description"",""Salaries Expense"",""Account Category Number"",""36"",""Account Description"",""Salaries and Wages"",""Account Index"",""2199"",""Account Number"",""5021-0-6100-0000"",""Credit Am"&amp;"ount"",""0.00000"",""Debit Amount"",""1321.60000"",""Document Date"",""1/1/1900"",""Document Number"",""DD000000000000139878"",""Document Sequence"",""147456"",""Period ID"",""3"",""Posting Type"",""Profit and Loss"",""Reference"",""Payroll Computer Checks"",""Row ID"",""5249527"",""Segment"&amp;" 1"",""5021"",""Segment 1 Description"",""Uinta River High School"",""Segment 10"","""",""Segment 10 Description"","""",""Segment 2"",""0"",""Segment 2 Description"","""",""Segment 3"",""6100"",""Segment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Amount"",""1321.60000"",""Transaction Date"",""12/30/"&amp;"2024"",""Transaction Description"","""",""Vendor Name"",""THACKER, STEPHANIE"",""Vendor Number"",""928"",""Journal Entry"",""1580940"""</f>
        <v>"GP","Ute Indian Tribe Membership Fund","Jet GL Transactions","Account Category Description","Salaries Expense","Account Category Number","36","Account Description","Salaries and Wages","Account Index","2199","Account Number","5021-0-6100-0000","Credit Amount","0.00000","Debit Amount","1321.60000","Document Date","1/1/1900","Document Number","DD000000000000139878","Document Sequence","147456","Period ID","3","Posting Type","Profit and Loss","Reference","Payroll Computer Checks","Row ID","5249527","Segment 1","5021","Segment 1 Description","Uinta River High School","Segment 10","","Segment 10 Description","","Segment 2","0","Segment 2 Description","","Segment 3","6100","Segment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Amount","1321.60000","Transaction Date","12/30/2024","Transaction Description","","Vendor Name","THACKER, STEPHANIE","Vendor Number","928","Journal Entry","1580940"</v>
      </c>
      <c r="L50" s="19">
        <v>45656</v>
      </c>
      <c r="M50">
        <v>1580940</v>
      </c>
      <c r="N50" t="str">
        <f t="shared" si="2"/>
        <v>Payroll Check</v>
      </c>
      <c r="O50" t="str">
        <f>"DD000000000000139878"</f>
        <v>DD000000000000139878</v>
      </c>
      <c r="P50" t="str">
        <f t="shared" si="3"/>
        <v>Payroll Computer Checks</v>
      </c>
      <c r="Q50" s="20" t="str">
        <f>""</f>
        <v/>
      </c>
      <c r="R50" s="21">
        <v>1321.6</v>
      </c>
      <c r="S50" s="21">
        <v>0</v>
      </c>
      <c r="T50" s="22">
        <f t="shared" si="4"/>
        <v>1321.6</v>
      </c>
    </row>
    <row r="51" spans="1:20" x14ac:dyDescent="0.25">
      <c r="A51" s="1" t="s">
        <v>25</v>
      </c>
      <c r="B51" s="17"/>
      <c r="C51" s="17"/>
      <c r="F51" s="17" t="e">
        <f>#REF!</f>
        <v>#REF!</v>
      </c>
      <c r="G51" s="17" t="e">
        <f>#REF!</f>
        <v>#REF!</v>
      </c>
      <c r="H51" s="18"/>
    </row>
    <row r="52" spans="1:20" x14ac:dyDescent="0.25">
      <c r="A52" s="1" t="s">
        <v>25</v>
      </c>
      <c r="I52" s="50" t="str">
        <f>I27&amp;"   "&amp;J27&amp;"         Total:"</f>
        <v>5021-0-6100-0000   Salaries and Wages         Total:</v>
      </c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23">
        <f>SUBTOTAL(9,T28:T51)</f>
        <v>30074.92</v>
      </c>
    </row>
    <row r="53" spans="1:20" x14ac:dyDescent="0.25">
      <c r="A53" s="1" t="s">
        <v>25</v>
      </c>
    </row>
    <row r="54" spans="1:20" x14ac:dyDescent="0.25">
      <c r="A54" s="1" t="s">
        <v>25</v>
      </c>
    </row>
    <row r="55" spans="1:20" x14ac:dyDescent="0.25">
      <c r="A55" s="1" t="s">
        <v>25</v>
      </c>
      <c r="D55" s="1" t="str">
        <f>"||""Filter"",""Jet GL Transactions"",""Account Number"",""Transaction Date"",""10/1/2024..9/30/2025"",""Account Number"",""||""""Filter"""",""""Jet GL Transactions"""",""""Account Number"""",""""Segment 1"""",""""5021"""",""""Segment 2"""",""""*"""",""""Segment 4"""",""""0000|9050"""""""</f>
        <v>||"Filter","Jet GL Transactions","Account Number","Transaction Date","10/1/2024..9/30/2025","Account Number","||""Filter"",""Jet GL Transactions"",""Account Number"",""Segment 1"",""5021"",""Segment 2"",""*"",""Segment 4"",""0000|9050"""</v>
      </c>
      <c r="F55" s="1" t="str">
        <f>"5021-0-6103-0000"</f>
        <v>5021-0-6103-0000</v>
      </c>
      <c r="G55" s="1" t="str">
        <f>"5021-0-6103-0000"</f>
        <v>5021-0-6103-0000</v>
      </c>
      <c r="I55" s="15" t="str">
        <f>G55</f>
        <v>5021-0-6103-0000</v>
      </c>
      <c r="J55" s="15" t="str">
        <f>"Salaries and Wages - PTO"</f>
        <v>Salaries and Wages - PTO</v>
      </c>
      <c r="Q55" s="15"/>
      <c r="R55" s="16"/>
    </row>
    <row r="56" spans="1:20" x14ac:dyDescent="0.25">
      <c r="A56" s="1" t="s">
        <v>25</v>
      </c>
      <c r="B56" s="17"/>
      <c r="C56" s="17"/>
      <c r="F56" s="17" t="e">
        <f>#REF!</f>
        <v>#REF!</v>
      </c>
      <c r="G56" s="17" t="e">
        <f>#REF!</f>
        <v>#REF!</v>
      </c>
      <c r="H56" s="18"/>
      <c r="K56" t="str">
        <f>"""GP"",""Ute Indian Tribe Membership Fund"",""Jet GL Transactions"",""Account Category Description"",""Salaries Expense"",""Account Category Number"",""36"",""Account Description"",""Salaries and Wages - PTO"",""Account Index"",""18812"",""Account Number"",""5021-0-6103-0000"",""Cr"&amp;"edit Amount"",""0.00000"",""Debit Amount"",""170.25000"",""Document Date"",""1/1/1900"",""Document Number"",""DD000000000000138264"",""Document Sequence"",""163840"",""Period ID"",""2"",""Posting Type"",""Profit and Loss"",""Reference"",""Payroll Computer Checks"",""Row ID"",""5194358"",""S"&amp;"egment 1"",""5021"",""Segment 1 Description"",""Uinta River High School"",""Segment 10"","""",""Segment 10 Description"","""",""Segment 2"",""0"",""Segment 2 Description"","""",""Segment 3"",""6103"",""Segment 3 Description"","""",""Segment 4"",""0000"",""Segment 4 Description"","""",""Segment "&amp;"5"","""",""Segment 5 Description"","""",""Segment 6"","""",""Segment 6 Description"","""",""Segment 7"","""",""Segment 7 Description"","""",""Segment 8"","""",""Segment 8 Description"","""",""Segment 9"","""",""Segment 9 Description"","""",""Transaction Amount"",""170.25000"",""Transaction Date"",""1"&amp;"1/7/2024"",""Transaction Description"","""",""Vendor Name"",""ESPLIN, TAMMIE A."",""Vendor Number"",""927"",""Journal Entry"",""1571262"""</f>
        <v>"GP","Ute Indian Tribe Membership Fund","Jet GL Transactions","Account Category Description","Salaries Expense","Account Category Number","36","Account Description","Salaries and Wages - PTO","Account Index","18812","Account Number","5021-0-6103-0000","Credit Amount","0.00000","Debit Amount","170.25000","Document Date","1/1/1900","Document Number","DD000000000000138264","Document Sequence","163840","Period ID","2","Posting Type","Profit and Loss","Reference","Payroll Computer Checks","Row ID","5194358","Segment 1","5021","Segment 1 Description","Uinta River High School","Segment 10","","Segment 10 Description","","Segment 2","0","Segment 2 Description","","Segment 3","6103","Segment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Amount","170.25000","Transaction Date","11/7/2024","Transaction Description","","Vendor Name","ESPLIN, TAMMIE A.","Vendor Number","927","Journal Entry","1571262"</v>
      </c>
      <c r="L56" s="19">
        <v>45603</v>
      </c>
      <c r="M56">
        <v>1571262</v>
      </c>
      <c r="N56" t="str">
        <f>"Payroll Check"</f>
        <v>Payroll Check</v>
      </c>
      <c r="O56" t="str">
        <f>"DD000000000000138264"</f>
        <v>DD000000000000138264</v>
      </c>
      <c r="P56" t="str">
        <f>"Payroll Computer Checks"</f>
        <v>Payroll Computer Checks</v>
      </c>
      <c r="Q56" s="20" t="str">
        <f>""</f>
        <v/>
      </c>
      <c r="R56" s="21">
        <v>170.25</v>
      </c>
      <c r="S56" s="21">
        <v>0</v>
      </c>
      <c r="T56" s="22">
        <f t="shared" ref="T56:T58" si="6">SUM(R56:S56)</f>
        <v>170.25</v>
      </c>
    </row>
    <row r="57" spans="1:20" x14ac:dyDescent="0.25">
      <c r="A57" s="1" t="s">
        <v>25</v>
      </c>
      <c r="B57" s="17"/>
      <c r="C57" s="17"/>
      <c r="F57" s="17" t="e">
        <f t="shared" ref="F57:G58" si="7">F56</f>
        <v>#REF!</v>
      </c>
      <c r="G57" s="17" t="e">
        <f t="shared" si="7"/>
        <v>#REF!</v>
      </c>
      <c r="H57" s="18"/>
      <c r="K57" t="str">
        <f>"""GP"",""Ute Indian Tribe Membership Fund"",""Jet GL Transactions"",""Account Category Description"",""Salaries Expense"",""Account Category Number"",""36"",""Account Description"",""Salaries and Wages - PTO"",""Account Index"",""18812"",""Account Number"",""5021-0-6103-0000"",""Cr"&amp;"edit Amount"",""0.00000"",""Debit Amount"",""85.12000"",""Document Date"",""1/1/1900"",""Document Number"",""DD000000000000138651"",""Document Sequence"",""163840"",""Period ID"",""2"",""Posting Type"",""Profit and Loss"",""Reference"",""Payroll Computer Checks"",""Row ID"",""5212026"",""Se"&amp;"gment 1"",""5021"",""Segment 1 Description"",""Uinta River High School"",""Segment 10"","""",""Segment 10 Description"","""",""Segment 2"",""0"",""Segment 2 Description"","""",""Segment 3"",""6103"",""Segment 3 Description"","""",""Segment 4"",""0000"",""Segment 4 Description"","""",""Segment 5"&amp;""","""",""Segment 5 Description"","""",""Segment 6"","""",""Segment 6 Description"","""",""Segment 7"","""",""Segment 7 Description"","""",""Segment 8"","""",""Segment 8 Description"","""",""Segment 9"","""",""Segment 9 Description"","""",""Transaction Amount"",""85.12000"",""Transaction Date"",""11/"&amp;"21/2024"",""Transaction Description"","""",""Vendor Name"",""ESPLIN, TAMMIE A."",""Vendor Number"",""927"",""Journal Entry"",""1574841"""</f>
        <v>"GP","Ute Indian Tribe Membership Fund","Jet GL Transactions","Account Category Description","Salaries Expense","Account Category Number","36","Account Description","Salaries and Wages - PTO","Account Index","18812","Account Number","5021-0-6103-0000","Credit Amount","0.00000","Debit Amount","85.12000","Document Date","1/1/1900","Document Number","DD000000000000138651","Document Sequence","163840","Period ID","2","Posting Type","Profit and Loss","Reference","Payroll Computer Checks","Row ID","5212026","Segment 1","5021","Segment 1 Description","Uinta River High School","Segment 10","","Segment 10 Description","","Segment 2","0","Segment 2 Description","","Segment 3","6103","Segment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Amount","85.12000","Transaction Date","11/21/2024","Transaction Description","","Vendor Name","ESPLIN, TAMMIE A.","Vendor Number","927","Journal Entry","1574841"</v>
      </c>
      <c r="L57" s="19">
        <v>45617</v>
      </c>
      <c r="M57">
        <v>1574841</v>
      </c>
      <c r="N57" t="str">
        <f>"Payroll Check"</f>
        <v>Payroll Check</v>
      </c>
      <c r="O57" t="str">
        <f>"DD000000000000138651"</f>
        <v>DD000000000000138651</v>
      </c>
      <c r="P57" t="str">
        <f>"Payroll Computer Checks"</f>
        <v>Payroll Computer Checks</v>
      </c>
      <c r="Q57" s="20" t="str">
        <f>""</f>
        <v/>
      </c>
      <c r="R57" s="21">
        <v>85.12</v>
      </c>
      <c r="S57" s="21">
        <v>0</v>
      </c>
      <c r="T57" s="22">
        <f t="shared" si="6"/>
        <v>85.12</v>
      </c>
    </row>
    <row r="58" spans="1:20" x14ac:dyDescent="0.25">
      <c r="A58" s="1" t="s">
        <v>25</v>
      </c>
      <c r="B58" s="17"/>
      <c r="C58" s="17"/>
      <c r="F58" s="17" t="e">
        <f t="shared" si="7"/>
        <v>#REF!</v>
      </c>
      <c r="G58" s="17" t="e">
        <f t="shared" si="7"/>
        <v>#REF!</v>
      </c>
      <c r="H58" s="18"/>
      <c r="K58" t="str">
        <f>"""GP"",""Ute Indian Tribe Membership Fund"",""Jet GL Transactions"",""Account Category Description"",""Salaries Expense"",""Account Category Number"",""36"",""Account Description"",""Salaries and Wages - PTO"",""Account Index"",""18812"",""Account Number"",""5021-0-6103-0000"",""Cr"&amp;"edit Amount"",""0.00000"",""Debit Amount"",""5674.86000"",""Document Date"",""1/1/1900"",""Document Number"",""DD000000000000139251"",""Document Sequence"",""147456"",""Period ID"",""3"",""Posting Type"",""Profit and Loss"",""Reference"",""Payroll Computer Checks"",""Row ID"",""5227037"","""&amp;"Segment 1"",""5021"",""Segment 1 Description"",""Uinta River High School"",""Segment 10"","""",""Segment 10 Description"","""",""Segment 2"",""0"",""Segment 2 Description"","""",""Segment 3"",""6103"",""Segment 3 Description"","""",""Segment 4"",""0000"",""Segment 4 Description"","""",""Segment"&amp;" 5"","""",""Segment 5 Description"","""",""Segment 6"","""",""Segment 6 Description"","""",""Segment 7"","""",""Segment 7 Description"","""",""Segment 8"","""",""Segment 8 Description"","""",""Segment 9"","""",""Segment 9 Description"","""",""Transaction Amount"",""5674.86000"",""Transaction Date"","&amp;"""12/9/2024"",""Transaction Description"","""",""Vendor Name"",""ESPLIN, TAMMIE A."",""Vendor Number"",""927"",""Journal Entry"",""1577760"""</f>
        <v>"GP","Ute Indian Tribe Membership Fund","Jet GL Transactions","Account Category Description","Salaries Expense","Account Category Number","36","Account Description","Salaries and Wages - PTO","Account Index","18812","Account Number","5021-0-6103-0000","Credit Amount","0.00000","Debit Amount","5674.86000","Document Date","1/1/1900","Document Number","DD000000000000139251","Document Sequence","147456","Period ID","3","Posting Type","Profit and Loss","Reference","Payroll Computer Checks","Row ID","5227037","Segment 1","5021","Segment 1 Description","Uinta River High School","Segment 10","","Segment 10 Description","","Segment 2","0","Segment 2 Description","","Segment 3","6103","Segment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Amount","5674.86000","Transaction Date","12/9/2024","Transaction Description","","Vendor Name","ESPLIN, TAMMIE A.","Vendor Number","927","Journal Entry","1577760"</v>
      </c>
      <c r="L58" s="19">
        <v>45635</v>
      </c>
      <c r="M58">
        <v>1577760</v>
      </c>
      <c r="N58" t="str">
        <f>"Payroll Check"</f>
        <v>Payroll Check</v>
      </c>
      <c r="O58" t="str">
        <f>"DD000000000000139251"</f>
        <v>DD000000000000139251</v>
      </c>
      <c r="P58" t="str">
        <f>"Payroll Computer Checks"</f>
        <v>Payroll Computer Checks</v>
      </c>
      <c r="Q58" s="20" t="str">
        <f>""</f>
        <v/>
      </c>
      <c r="R58" s="21">
        <v>5674.86</v>
      </c>
      <c r="S58" s="21">
        <v>0</v>
      </c>
      <c r="T58" s="22">
        <f t="shared" si="6"/>
        <v>5674.86</v>
      </c>
    </row>
    <row r="59" spans="1:20" x14ac:dyDescent="0.25">
      <c r="A59" s="1" t="s">
        <v>25</v>
      </c>
      <c r="B59" s="17"/>
      <c r="C59" s="17"/>
      <c r="F59" s="17" t="e">
        <f>#REF!</f>
        <v>#REF!</v>
      </c>
      <c r="G59" s="17" t="e">
        <f>#REF!</f>
        <v>#REF!</v>
      </c>
      <c r="H59" s="18"/>
    </row>
    <row r="60" spans="1:20" x14ac:dyDescent="0.25">
      <c r="A60" s="1" t="s">
        <v>25</v>
      </c>
      <c r="I60" s="50" t="str">
        <f>I55&amp;"   "&amp;J55&amp;"         Total:"</f>
        <v>5021-0-6103-0000   Salaries and Wages - PTO         Total:</v>
      </c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23">
        <f>SUBTOTAL(9,T56:T59)</f>
        <v>5930.23</v>
      </c>
    </row>
    <row r="61" spans="1:20" x14ac:dyDescent="0.25">
      <c r="A61" s="1" t="s">
        <v>25</v>
      </c>
    </row>
    <row r="62" spans="1:20" x14ac:dyDescent="0.25">
      <c r="A62" s="1" t="s">
        <v>25</v>
      </c>
    </row>
    <row r="63" spans="1:20" x14ac:dyDescent="0.25">
      <c r="A63" s="1" t="s">
        <v>25</v>
      </c>
      <c r="D63" s="1" t="str">
        <f>"||""Filter"",""Jet GL Transactions"",""Account Number"",""Transaction Date"",""10/1/2024..9/30/2025"",""Account Number"",""||""""Filter"""",""""Jet GL Transactions"""",""""Account Number"""",""""Segment 1"""",""""5021"""",""""Segment 2"""",""""*"""",""""Segment 4"""",""""0000|9050"""""""</f>
        <v>||"Filter","Jet GL Transactions","Account Number","Transaction Date","10/1/2024..9/30/2025","Account Number","||""Filter"",""Jet GL Transactions"",""Account Number"",""Segment 1"",""5021"",""Segment 2"",""*"",""Segment 4"",""0000|9050"""</v>
      </c>
      <c r="F63" s="1" t="str">
        <f>"5021-0-6105-0000"</f>
        <v>5021-0-6105-0000</v>
      </c>
      <c r="G63" s="1" t="str">
        <f>"5021-0-6105-0000"</f>
        <v>5021-0-6105-0000</v>
      </c>
      <c r="I63" s="15" t="str">
        <f>G63</f>
        <v>5021-0-6105-0000</v>
      </c>
      <c r="J63" s="15" t="str">
        <f>"Overtime"</f>
        <v>Overtime</v>
      </c>
      <c r="Q63" s="15"/>
      <c r="R63" s="16"/>
    </row>
    <row r="64" spans="1:20" x14ac:dyDescent="0.25">
      <c r="A64" s="1" t="s">
        <v>25</v>
      </c>
      <c r="B64" s="17"/>
      <c r="C64" s="17"/>
      <c r="F64" s="17" t="e">
        <f>#REF!</f>
        <v>#REF!</v>
      </c>
      <c r="G64" s="17" t="e">
        <f>#REF!</f>
        <v>#REF!</v>
      </c>
      <c r="H64" s="18"/>
      <c r="K64" t="str">
        <f>"""GP"",""Ute Indian Tribe Membership Fund"",""Jet GL Transactions"",""Account Category Description"",""Other Expenses"",""Account Category Number"",""42"",""Account Description"",""Overtime"",""Account Index"",""7837"",""Account Number"",""5021-0-6105-0000"",""Credit Amount"",""0.000"&amp;"00"",""Debit Amount"",""1181.08000"",""Document Date"",""1/1/1900"",""Document Number"",""DD000000000000138264"",""Document Sequence"",""180224"",""Period ID"",""2"",""Posting Type"",""Profit and Loss"",""Reference"",""Payroll Computer Checks"",""Row ID"",""5194357"",""Segment 1"",""5021"","""&amp;"Segment 1 Description"",""Uinta River High School"",""Segment 10"","""",""Segment 10 Description"","""",""Segment 2"",""0"",""Segment 2 Description"","""",""Segment 3"",""6105"",""Segment 3 Description"","""",""Segment 4"",""0000"",""Segment 4 Description"","""",""Segment 5"","""",""Segment 5 D"&amp;"escription"","""",""Segment 6"","""",""Segment 6 Description"","""",""Segment 7"","""",""Segment 7 Description"","""",""Segment 8"","""",""Segment 8 Description"","""",""Segment 9"","""",""Segment 9 Description"","""",""Transaction Amount"",""1181.08000"",""Transaction Date"",""11/7/2024"",""Transa"&amp;"ction Description"","""",""Vendor Name"",""ESPLIN, TAMMIE A."",""Vendor Number"",""927"",""Journal Entry"",""1571262"""</f>
        <v>"GP","Ute Indian Tribe Membership Fund","Jet GL Transactions","Account Category Description","Other Expenses","Account Category Number","42","Account Description","Overtime","Account Index","7837","Account Number","5021-0-6105-0000","Credit Amount","0.00000","Debit Amount","1181.08000","Document Date","1/1/1900","Document Number","DD000000000000138264","Document Sequence","180224","Period ID","2","Posting Type","Profit and Loss","Reference","Payroll Computer Checks","Row ID","5194357","Segment 1","5021","Segment 1 Description","Uinta River High School","Segment 10","","Segment 10 Description","","Segment 2","0","Segment 2 Description","","Segment 3","6105","Segment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Amount","1181.08000","Transaction Date","11/7/2024","Transaction Description","","Vendor Name","ESPLIN, TAMMIE A.","Vendor Number","927","Journal Entry","1571262"</v>
      </c>
      <c r="L64" s="19">
        <v>45603</v>
      </c>
      <c r="M64">
        <v>1571262</v>
      </c>
      <c r="N64" t="str">
        <f t="shared" ref="N64:N68" si="8">"Payroll Check"</f>
        <v>Payroll Check</v>
      </c>
      <c r="O64" t="str">
        <f>"DD000000000000138264"</f>
        <v>DD000000000000138264</v>
      </c>
      <c r="P64" t="str">
        <f t="shared" ref="P64:P68" si="9">"Payroll Computer Checks"</f>
        <v>Payroll Computer Checks</v>
      </c>
      <c r="Q64" s="20" t="str">
        <f>""</f>
        <v/>
      </c>
      <c r="R64" s="21">
        <v>1181.08</v>
      </c>
      <c r="S64" s="21">
        <v>0</v>
      </c>
      <c r="T64" s="22">
        <f t="shared" ref="T64:T68" si="10">SUM(R64:S64)</f>
        <v>1181.08</v>
      </c>
    </row>
    <row r="65" spans="1:20" x14ac:dyDescent="0.25">
      <c r="A65" s="1" t="s">
        <v>25</v>
      </c>
      <c r="B65" s="17"/>
      <c r="C65" s="17"/>
      <c r="F65" s="17" t="e">
        <f t="shared" ref="F65:G68" si="11">F64</f>
        <v>#REF!</v>
      </c>
      <c r="G65" s="17" t="e">
        <f t="shared" si="11"/>
        <v>#REF!</v>
      </c>
      <c r="H65" s="18"/>
      <c r="K65" t="str">
        <f>"""GP"",""Ute Indian Tribe Membership Fund"",""Jet GL Transactions"",""Account Category Description"",""Other Expenses"",""Account Category Number"",""42"",""Account Description"",""Overtime"",""Account Index"",""7837"",""Account Number"",""5021-0-6105-0000"",""Credit Amount"",""0.000"&amp;"00"",""Debit Amount"",""1106.60000"",""Document Date"",""1/1/1900"",""Document Number"",""DD000000000000138651"",""Document Sequence"",""180224"",""Period ID"",""2"",""Posting Type"",""Profit and Loss"",""Reference"",""Payroll Computer Checks"",""Row ID"",""5212025"",""Segment 1"",""5021"","""&amp;"Segment 1 Description"",""Uinta River High School"",""Segment 10"","""",""Segment 10 Description"","""",""Segment 2"",""0"",""Segment 2 Description"","""",""Segment 3"",""6105"",""Segment 3 Description"","""",""Segment 4"",""0000"",""Segment 4 Description"","""",""Segment 5"","""",""Segment 5 D"&amp;"escription"","""",""Segment 6"","""",""Segment 6 Description"","""",""Segment 7"","""",""Segment 7 Description"","""",""Segment 8"","""",""Segment 8 Description"","""",""Segment 9"","""",""Segment 9 Description"","""",""Transaction Amount"",""1106.60000"",""Transaction Date"",""11/21/2024"",""Trans"&amp;"action Description"","""",""Vendor Name"",""ESPLIN, TAMMIE A."",""Vendor Number"",""927"",""Journal Entry"",""1574841"""</f>
        <v>"GP","Ute Indian Tribe Membership Fund","Jet GL Transactions","Account Category Description","Other Expenses","Account Category Number","42","Account Description","Overtime","Account Index","7837","Account Number","5021-0-6105-0000","Credit Amount","0.00000","Debit Amount","1106.60000","Document Date","1/1/1900","Document Number","DD000000000000138651","Document Sequence","180224","Period ID","2","Posting Type","Profit and Loss","Reference","Payroll Computer Checks","Row ID","5212025","Segment 1","5021","Segment 1 Description","Uinta River High School","Segment 10","","Segment 10 Description","","Segment 2","0","Segment 2 Description","","Segment 3","6105","Segment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Amount","1106.60000","Transaction Date","11/21/2024","Transaction Description","","Vendor Name","ESPLIN, TAMMIE A.","Vendor Number","927","Journal Entry","1574841"</v>
      </c>
      <c r="L65" s="19">
        <v>45617</v>
      </c>
      <c r="M65">
        <v>1574841</v>
      </c>
      <c r="N65" t="str">
        <f t="shared" si="8"/>
        <v>Payroll Check</v>
      </c>
      <c r="O65" t="str">
        <f>"DD000000000000138651"</f>
        <v>DD000000000000138651</v>
      </c>
      <c r="P65" t="str">
        <f t="shared" si="9"/>
        <v>Payroll Computer Checks</v>
      </c>
      <c r="Q65" s="20" t="str">
        <f>""</f>
        <v/>
      </c>
      <c r="R65" s="21">
        <v>1106.5999999999999</v>
      </c>
      <c r="S65" s="21">
        <v>0</v>
      </c>
      <c r="T65" s="22">
        <f t="shared" si="10"/>
        <v>1106.5999999999999</v>
      </c>
    </row>
    <row r="66" spans="1:20" x14ac:dyDescent="0.25">
      <c r="A66" s="1" t="s">
        <v>25</v>
      </c>
      <c r="B66" s="17"/>
      <c r="C66" s="17"/>
      <c r="F66" s="17" t="e">
        <f t="shared" si="11"/>
        <v>#REF!</v>
      </c>
      <c r="G66" s="17" t="e">
        <f t="shared" si="11"/>
        <v>#REF!</v>
      </c>
      <c r="H66" s="18"/>
      <c r="K66" t="str">
        <f>"""GP"",""Ute Indian Tribe Membership Fund"",""Jet GL Transactions"",""Account Category Description"",""Other Expenses"",""Account Category Number"",""42"",""Account Description"",""Overtime"",""Account Index"",""7837"",""Account Number"",""5021-0-6105-0000"",""Credit Amount"",""0.000"&amp;"00"",""Debit Amount"",""1021.48000"",""Document Date"",""1/1/1900"",""Document Number"",""DD000000000000139026"",""Document Sequence"",""163840"",""Period ID"",""3"",""Posting Type"",""Profit and Loss"",""Reference"",""Payroll Computer Checks"",""Row ID"",""5224214"",""Segment 1"",""5021"","""&amp;"Segment 1 Description"",""Uinta River High School"",""Segment 10"","""",""Segment 10 Description"","""",""Segment 2"",""0"",""Segment 2 Description"","""",""Segment 3"",""6105"",""Segment 3 Description"","""",""Segment 4"",""0000"",""Segment 4 Description"","""",""Segment 5"","""",""Segment 5 D"&amp;"escription"","""",""Segment 6"","""",""Segment 6 Description"","""",""Segment 7"","""",""Segment 7 Description"","""",""Segment 8"","""",""Segment 8 Description"","""",""Segment 9"","""",""Segment 9 Description"","""",""Transaction Amount"",""1021.48000"",""Transaction Date"",""12/5/2024"",""Transa"&amp;"ction Description"","""",""Vendor Name"",""ESPLIN, TAMMIE A."",""Vendor Number"",""927"",""Journal Entry"",""1576786"""</f>
        <v>"GP","Ute Indian Tribe Membership Fund","Jet GL Transactions","Account Category Description","Other Expenses","Account Category Number","42","Account Description","Overtime","Account Index","7837","Account Number","5021-0-6105-0000","Credit Amount","0.00000","Debit Amount","1021.48000","Document Date","1/1/1900","Document Number","DD000000000000139026","Document Sequence","163840","Period ID","3","Posting Type","Profit and Loss","Reference","Payroll Computer Checks","Row ID","5224214","Segment 1","5021","Segment 1 Description","Uinta River High School","Segment 10","","Segment 10 Description","","Segment 2","0","Segment 2 Description","","Segment 3","6105","Segment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Amount","1021.48000","Transaction Date","12/5/2024","Transaction Description","","Vendor Name","ESPLIN, TAMMIE A.","Vendor Number","927","Journal Entry","1576786"</v>
      </c>
      <c r="L66" s="19">
        <v>45631</v>
      </c>
      <c r="M66">
        <v>1576786</v>
      </c>
      <c r="N66" t="str">
        <f t="shared" si="8"/>
        <v>Payroll Check</v>
      </c>
      <c r="O66" t="str">
        <f>"DD000000000000139026"</f>
        <v>DD000000000000139026</v>
      </c>
      <c r="P66" t="str">
        <f t="shared" si="9"/>
        <v>Payroll Computer Checks</v>
      </c>
      <c r="Q66" s="20" t="str">
        <f>""</f>
        <v/>
      </c>
      <c r="R66" s="21">
        <v>1021.48</v>
      </c>
      <c r="S66" s="21">
        <v>0</v>
      </c>
      <c r="T66" s="22">
        <f t="shared" si="10"/>
        <v>1021.48</v>
      </c>
    </row>
    <row r="67" spans="1:20" x14ac:dyDescent="0.25">
      <c r="A67" s="1" t="s">
        <v>25</v>
      </c>
      <c r="B67" s="17"/>
      <c r="C67" s="17"/>
      <c r="F67" s="17" t="e">
        <f t="shared" si="11"/>
        <v>#REF!</v>
      </c>
      <c r="G67" s="17" t="e">
        <f t="shared" si="11"/>
        <v>#REF!</v>
      </c>
      <c r="H67" s="18"/>
      <c r="K67" t="str">
        <f>"""GP"",""Ute Indian Tribe Membership Fund"",""Jet GL Transactions"",""Account Category Description"",""Other Expenses"",""Account Category Number"",""42"",""Account Description"",""Overtime"",""Account Index"",""7837"",""Account Number"",""5021-0-6105-0000"",""Credit Amount"",""0.000"&amp;"00"",""Debit Amount"",""851.23000"",""Document Date"",""1/1/1900"",""Document Number"",""DD000000000000139498"",""Document Sequence"",""163840"",""Period ID"",""3"",""Posting Type"",""Profit and Loss"",""Reference"",""Payroll Computer Checks"",""Row ID"",""5240744"",""Segment 1"",""5021"",""S"&amp;"egment 1 Description"",""Uinta River High School"",""Segment 10"","""",""Segment 10 Description"","""",""Segment 2"",""0"",""Segment 2 Description"","""",""Segment 3"",""6105"",""Segment 3 Description"","""",""Segment 4"",""0000"",""Segment 4 Description"","""",""Segment 5"","""",""Segment 5 De"&amp;"scription"","""",""Segment 6"","""",""Segment 6 Description"","""",""Segment 7"","""",""Segment 7 Description"","""",""Segment 8"","""",""Segment 8 Description"","""",""Segment 9"","""",""Segment 9 Description"","""",""Transaction Amount"",""851.23000"",""Transaction Date"",""12/19/2024"",""Transac"&amp;"tion Description"","""",""Vendor Name"",""ESPLIN, TAMMIE A."",""Vendor Number"",""927"",""Journal Entry"",""1579875"""</f>
        <v>"GP","Ute Indian Tribe Membership Fund","Jet GL Transactions","Account Category Description","Other Expenses","Account Category Number","42","Account Description","Overtime","Account Index","7837","Account Number","5021-0-6105-0000","Credit Amount","0.00000","Debit Amount","851.23000","Document Date","1/1/1900","Document Number","DD000000000000139498","Document Sequence","163840","Period ID","3","Posting Type","Profit and Loss","Reference","Payroll Computer Checks","Row ID","5240744","Segment 1","5021","Segment 1 Description","Uinta River High School","Segment 10","","Segment 10 Description","","Segment 2","0","Segment 2 Description","","Segment 3","6105","Segment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Amount","851.23000","Transaction Date","12/19/2024","Transaction Description","","Vendor Name","ESPLIN, TAMMIE A.","Vendor Number","927","Journal Entry","1579875"</v>
      </c>
      <c r="L67" s="19">
        <v>45645</v>
      </c>
      <c r="M67">
        <v>1579875</v>
      </c>
      <c r="N67" t="str">
        <f t="shared" si="8"/>
        <v>Payroll Check</v>
      </c>
      <c r="O67" t="str">
        <f>"DD000000000000139498"</f>
        <v>DD000000000000139498</v>
      </c>
      <c r="P67" t="str">
        <f t="shared" si="9"/>
        <v>Payroll Computer Checks</v>
      </c>
      <c r="Q67" s="20" t="str">
        <f>""</f>
        <v/>
      </c>
      <c r="R67" s="21">
        <v>851.23</v>
      </c>
      <c r="S67" s="21">
        <v>0</v>
      </c>
      <c r="T67" s="22">
        <f t="shared" si="10"/>
        <v>851.23</v>
      </c>
    </row>
    <row r="68" spans="1:20" x14ac:dyDescent="0.25">
      <c r="A68" s="1" t="s">
        <v>25</v>
      </c>
      <c r="B68" s="17"/>
      <c r="C68" s="17"/>
      <c r="F68" s="17" t="e">
        <f t="shared" si="11"/>
        <v>#REF!</v>
      </c>
      <c r="G68" s="17" t="e">
        <f t="shared" si="11"/>
        <v>#REF!</v>
      </c>
      <c r="H68" s="18"/>
      <c r="K68" t="str">
        <f>"""GP"",""Ute Indian Tribe Membership Fund"",""Jet GL Transactions"",""Account Category Description"",""Other Expenses"",""Account Category Number"",""42"",""Account Description"",""Overtime"",""Account Index"",""7837"",""Account Number"",""5021-0-6105-0000"",""Credit Amount"",""0.000"&amp;"00"",""Debit Amount"",""680.98000"",""Document Date"",""1/1/1900"",""Document Number"",""DD000000000000139876"",""Document Sequence"",""163840"",""Period ID"",""3"",""Posting Type"",""Profit and Loss"",""Reference"",""Payroll Computer Checks"",""Row ID"",""5249516"",""Segment 1"",""5021"",""S"&amp;"egment 1 Description"",""Uinta River High School"",""Segment 10"","""",""Segment 10 Description"","""",""Segment 2"",""0"",""Segment 2 Description"","""",""Segment 3"",""6105"",""Segment 3 Description"","""",""Segment 4"",""0000"",""Segment 4 Description"","""",""Segment 5"","""",""Segment 5 De"&amp;"scription"","""",""Segment 6"","""",""Segment 6 Description"","""",""Segment 7"","""",""Segment 7 Description"","""",""Segment 8"","""",""Segment 8 Description"","""",""Segment 9"","""",""Segment 9 Description"","""",""Transaction Amount"",""680.98000"",""Transaction Date"",""12/30/2024"",""Transac"&amp;"tion Description"","""",""Vendor Name"",""ESPLIN, TAMMIE A."",""Vendor Number"",""927"",""Journal Entry"",""1580939"""</f>
        <v>"GP","Ute Indian Tribe Membership Fund","Jet GL Transactions","Account Category Description","Other Expenses","Account Category Number","42","Account Description","Overtime","Account Index","7837","Account Number","5021-0-6105-0000","Credit Amount","0.00000","Debit Amount","680.98000","Document Date","1/1/1900","Document Number","DD000000000000139876","Document Sequence","163840","Period ID","3","Posting Type","Profit and Loss","Reference","Payroll Computer Checks","Row ID","5249516","Segment 1","5021","Segment 1 Description","Uinta River High School","Segment 10","","Segment 10 Description","","Segment 2","0","Segment 2 Description","","Segment 3","6105","Segment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Amount","680.98000","Transaction Date","12/30/2024","Transaction Description","","Vendor Name","ESPLIN, TAMMIE A.","Vendor Number","927","Journal Entry","1580939"</v>
      </c>
      <c r="L68" s="19">
        <v>45656</v>
      </c>
      <c r="M68">
        <v>1580939</v>
      </c>
      <c r="N68" t="str">
        <f t="shared" si="8"/>
        <v>Payroll Check</v>
      </c>
      <c r="O68" t="str">
        <f>"DD000000000000139876"</f>
        <v>DD000000000000139876</v>
      </c>
      <c r="P68" t="str">
        <f t="shared" si="9"/>
        <v>Payroll Computer Checks</v>
      </c>
      <c r="Q68" s="20" t="str">
        <f>""</f>
        <v/>
      </c>
      <c r="R68" s="21">
        <v>680.98</v>
      </c>
      <c r="S68" s="21">
        <v>0</v>
      </c>
      <c r="T68" s="22">
        <f t="shared" si="10"/>
        <v>680.98</v>
      </c>
    </row>
    <row r="69" spans="1:20" x14ac:dyDescent="0.25">
      <c r="A69" s="1" t="s">
        <v>25</v>
      </c>
      <c r="B69" s="17"/>
      <c r="C69" s="17"/>
      <c r="F69" s="17" t="e">
        <f>#REF!</f>
        <v>#REF!</v>
      </c>
      <c r="G69" s="17" t="e">
        <f>#REF!</f>
        <v>#REF!</v>
      </c>
      <c r="H69" s="18"/>
    </row>
    <row r="70" spans="1:20" x14ac:dyDescent="0.25">
      <c r="A70" s="1" t="s">
        <v>25</v>
      </c>
      <c r="I70" s="50" t="str">
        <f>I63&amp;"   "&amp;J63&amp;"         Total:"</f>
        <v>5021-0-6105-0000   Overtime         Total: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23">
        <f>SUBTOTAL(9,T64:T69)</f>
        <v>4841.369999999999</v>
      </c>
    </row>
    <row r="71" spans="1:20" x14ac:dyDescent="0.25">
      <c r="A71" s="1" t="s">
        <v>25</v>
      </c>
    </row>
    <row r="72" spans="1:20" x14ac:dyDescent="0.25">
      <c r="A72" s="1" t="s">
        <v>25</v>
      </c>
    </row>
    <row r="73" spans="1:20" x14ac:dyDescent="0.25">
      <c r="A73" s="1" t="s">
        <v>25</v>
      </c>
      <c r="D73" s="1" t="str">
        <f>"||""Filter"",""Jet GL Transactions"",""Account Number"",""Transaction Date"",""10/1/2024..9/30/2025"",""Account Number"",""||""""Filter"""",""""Jet GL Transactions"""",""""Account Number"""",""""Segment 1"""",""""5021"""",""""Segment 2"""",""""*"""",""""Segment 4"""",""""0000|9050"""""""</f>
        <v>||"Filter","Jet GL Transactions","Account Number","Transaction Date","10/1/2024..9/30/2025","Account Number","||""Filter"",""Jet GL Transactions"",""Account Number"",""Segment 1"",""5021"",""Segment 2"",""*"",""Segment 4"",""0000|9050"""</v>
      </c>
      <c r="F73" s="1" t="str">
        <f>"5021-0-6110-0000"</f>
        <v>5021-0-6110-0000</v>
      </c>
      <c r="G73" s="1" t="str">
        <f>"5021-0-6110-0000"</f>
        <v>5021-0-6110-0000</v>
      </c>
      <c r="I73" s="15" t="str">
        <f>G73</f>
        <v>5021-0-6110-0000</v>
      </c>
      <c r="J73" s="15" t="str">
        <f>"Fringe Benefits - Taxes"</f>
        <v>Fringe Benefits - Taxes</v>
      </c>
      <c r="Q73" s="15"/>
      <c r="R73" s="16"/>
    </row>
    <row r="74" spans="1:20" x14ac:dyDescent="0.25">
      <c r="A74" s="1" t="s">
        <v>25</v>
      </c>
      <c r="B74" s="17"/>
      <c r="C74" s="17"/>
      <c r="F74" s="17" t="e">
        <f>#REF!</f>
        <v>#REF!</v>
      </c>
      <c r="G74" s="17" t="e">
        <f>#REF!</f>
        <v>#REF!</v>
      </c>
      <c r="H74" s="18"/>
      <c r="K74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Amount"",""2.74000"",""Document Date"",""1/1/1900"",""Document Number"","""",""Document Sequence"",""11190272"",""Period ID"",""2"",""Posting Type"",""Profit and Loss"",""Reference"",""Payroll Period-End Reports"",""Row ID"",""5228263"",""Segment 1"",""5021"",""Seg"&amp;"ment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Desc"&amp;"ription"","""",""Segment 6"","""",""Segment 6 Description"","""",""Segment 7"","""",""Segment 7 Description"","""",""Segment 8"","""",""Segment 8 Description"","""",""Segment 9"","""",""Segment 9 Description"","""",""Transaction Amount"",""2.74000"",""Transaction Date"",""11/7/2024"",""Transaction "&amp;"Description"","""",""Vendor Name"","""",""Vendor Number"","""",""Journal Entry"",""1577961"""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Amount","2.74000","Document Date","1/1/1900","Document Number","","Document Sequence","11190272","Period ID","2","Posting Type","Profit and Loss","Reference","Payroll Period-End Reports","Row ID","5228263","Segment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Amount","2.74000","Transaction Date","11/7/2024","Transaction Description","","Vendor Name","","Vendor Number","","Journal Entry","1577961"</v>
      </c>
      <c r="L74" s="19">
        <v>45603</v>
      </c>
      <c r="M74">
        <v>1577961</v>
      </c>
      <c r="N74" t="str">
        <f>""</f>
        <v/>
      </c>
      <c r="O74" t="str">
        <f>""</f>
        <v/>
      </c>
      <c r="P74" t="str">
        <f>"Payroll Period-End Reports"</f>
        <v>Payroll Period-End Reports</v>
      </c>
      <c r="Q74" s="20" t="str">
        <f>""</f>
        <v/>
      </c>
      <c r="R74" s="21">
        <v>2.74</v>
      </c>
      <c r="S74" s="21">
        <v>0</v>
      </c>
      <c r="T74" s="22">
        <f t="shared" ref="T74:T112" si="12">SUM(R74:S74)</f>
        <v>2.74</v>
      </c>
    </row>
    <row r="75" spans="1:20" x14ac:dyDescent="0.25">
      <c r="A75" s="1" t="s">
        <v>25</v>
      </c>
      <c r="B75" s="17"/>
      <c r="C75" s="17"/>
      <c r="F75" s="17" t="e">
        <f t="shared" ref="F75:G80" si="13">F74</f>
        <v>#REF!</v>
      </c>
      <c r="G75" s="17" t="e">
        <f t="shared" si="13"/>
        <v>#REF!</v>
      </c>
      <c r="H75" s="18"/>
      <c r="K75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Amount"",""3.56000"",""Document Date"",""1/1/1900"",""Document Number"","""",""Document Sequence"",""2113536"",""Period ID"",""2"",""Posting Type"",""Profit and Loss"",""Reference"",""Payroll Period-End Reports"",""Row ID"",""5228260"",""Segment 1"",""5021"",""Segm"&amp;"ent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Descr"&amp;"iption"","""",""Segment 6"","""",""Segment 6 Description"","""",""Segment 7"","""",""Segment 7 Description"","""",""Segment 8"","""",""Segment 8 Description"","""",""Segment 9"","""",""Segment 9 Description"","""",""Transaction Amount"",""3.56000"",""Transaction Date"",""11/7/2024"",""Transaction D"&amp;"escription"","""",""Vendor Name"","""",""Vendor Number"","""",""Journal Entry"",""1577961"""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Amount","3.56000","Document Date","1/1/1900","Document Number","","Document Sequence","2113536","Period ID","2","Posting Type","Profit and Loss","Reference","Payroll Period-End Reports","Row ID","5228260","Segment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Amount","3.56000","Transaction Date","11/7/2024","Transaction Description","","Vendor Name","","Vendor Number","","Journal Entry","1577961"</v>
      </c>
      <c r="L75" s="19">
        <v>45603</v>
      </c>
      <c r="M75">
        <v>1577961</v>
      </c>
      <c r="N75" t="str">
        <f>""</f>
        <v/>
      </c>
      <c r="O75" t="str">
        <f>""</f>
        <v/>
      </c>
      <c r="P75" t="str">
        <f>"Payroll Period-End Reports"</f>
        <v>Payroll Period-End Reports</v>
      </c>
      <c r="Q75" s="20" t="str">
        <f>""</f>
        <v/>
      </c>
      <c r="R75" s="21">
        <v>3.56</v>
      </c>
      <c r="S75" s="21">
        <v>0</v>
      </c>
      <c r="T75" s="22">
        <f t="shared" si="12"/>
        <v>3.56</v>
      </c>
    </row>
    <row r="76" spans="1:20" x14ac:dyDescent="0.25">
      <c r="A76" s="1" t="s">
        <v>25</v>
      </c>
      <c r="B76" s="17"/>
      <c r="C76" s="17"/>
      <c r="F76" s="17" t="e">
        <f t="shared" si="13"/>
        <v>#REF!</v>
      </c>
      <c r="G76" s="17" t="e">
        <f t="shared" si="13"/>
        <v>#REF!</v>
      </c>
      <c r="H76" s="18"/>
      <c r="K76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Amount"",""3.97000"",""Document Date"",""1/1/1900"",""Document Number"",""DD000000000000138265"",""Document Sequence"",""114688"",""Period ID"",""2"",""Posting Type"",""Profit and Loss"",""Reference"",""Payroll Computer Checks"",""Row ID"",""5191842"",""Segment"&amp;"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Amount"",""3.97000"",""Transaction Date"",""11/7/2024"&amp;""",""Transaction Description"","""",""Vendor Name"",""LAUB, REBECCA"",""Vendor Number"",""2772"",""Journal Entry"",""1571120"""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Amount","3.97000","Document Date","1/1/1900","Document Number","DD000000000000138265","Document Sequence","114688","Period ID","2","Posting Type","Profit and Loss","Reference","Payroll Computer Checks","Row ID","5191842","Segment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Amount","3.97000","Transaction Date","11/7/2024","Transaction Description","","Vendor Name","LAUB, REBECCA","Vendor Number","2772","Journal Entry","1571120"</v>
      </c>
      <c r="L76" s="19">
        <v>45603</v>
      </c>
      <c r="M76">
        <v>1571120</v>
      </c>
      <c r="N76" t="str">
        <f>"Payroll Check"</f>
        <v>Payroll Check</v>
      </c>
      <c r="O76" t="str">
        <f>"DD000000000000138265"</f>
        <v>DD000000000000138265</v>
      </c>
      <c r="P76" t="str">
        <f>"Payroll Computer Checks"</f>
        <v>Payroll Computer Checks</v>
      </c>
      <c r="Q76" s="20" t="str">
        <f>""</f>
        <v/>
      </c>
      <c r="R76" s="21">
        <v>3.97</v>
      </c>
      <c r="S76" s="21">
        <v>0</v>
      </c>
      <c r="T76" s="22">
        <f t="shared" si="12"/>
        <v>3.97</v>
      </c>
    </row>
    <row r="77" spans="1:20" x14ac:dyDescent="0.25">
      <c r="A77" s="1" t="s">
        <v>25</v>
      </c>
      <c r="B77" s="17"/>
      <c r="C77" s="17"/>
      <c r="F77" s="17" t="e">
        <f t="shared" si="13"/>
        <v>#REF!</v>
      </c>
      <c r="G77" s="17" t="e">
        <f t="shared" si="13"/>
        <v>#REF!</v>
      </c>
      <c r="H77" s="18"/>
      <c r="K77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Amount"",""12.71000"",""Document Date"",""1/1/1900"",""Document Number"","""",""Document Sequence"",""11173888"",""Period ID"",""2"",""Posting Type"",""Profit and Loss"",""Reference"",""Payroll Period-End Reports"",""Row ID"",""5228262"",""Segment 1"",""5021"",""Se"&amp;"gment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Des"&amp;"cription"","""",""Segment 6"","""",""Segment 6 Description"","""",""Segment 7"","""",""Segment 7 Description"","""",""Segment 8"","""",""Segment 8 Description"","""",""Segment 9"","""",""Segment 9 Description"","""",""Transaction Amount"",""12.71000"",""Transaction Date"",""11/7/2024"",""Transactio"&amp;"n Description"","""",""Vendor Name"","""",""Vendor Number"","""",""Journal Entry"",""1577961"""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Amount","12.71000","Document Date","1/1/1900","Document Number","","Document Sequence","11173888","Period ID","2","Posting Type","Profit and Loss","Reference","Payroll Period-End Reports","Row ID","5228262","Segment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Amount","12.71000","Transaction Date","11/7/2024","Transaction Description","","Vendor Name","","Vendor Number","","Journal Entry","1577961"</v>
      </c>
      <c r="L77" s="19">
        <v>45603</v>
      </c>
      <c r="M77">
        <v>1577961</v>
      </c>
      <c r="N77" t="str">
        <f>""</f>
        <v/>
      </c>
      <c r="O77" t="str">
        <f>""</f>
        <v/>
      </c>
      <c r="P77" t="str">
        <f>"Payroll Period-End Reports"</f>
        <v>Payroll Period-End Reports</v>
      </c>
      <c r="Q77" s="20" t="str">
        <f>""</f>
        <v/>
      </c>
      <c r="R77" s="21">
        <v>12.71</v>
      </c>
      <c r="S77" s="21">
        <v>0</v>
      </c>
      <c r="T77" s="22">
        <f t="shared" si="12"/>
        <v>12.71</v>
      </c>
    </row>
    <row r="78" spans="1:20" x14ac:dyDescent="0.25">
      <c r="A78" s="1" t="s">
        <v>25</v>
      </c>
      <c r="B78" s="17"/>
      <c r="C78" s="17"/>
      <c r="F78" s="17" t="e">
        <f t="shared" si="13"/>
        <v>#REF!</v>
      </c>
      <c r="G78" s="17" t="e">
        <f t="shared" si="13"/>
        <v>#REF!</v>
      </c>
      <c r="H78" s="18"/>
      <c r="K78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Amount"",""15.70000"",""Document Date"",""1/1/1900"",""Document Number"","""",""Document Sequence"",""2097152"",""Period ID"",""2"",""Posting Type"",""Profit and Loss"",""Reference"",""Payroll Period-End Reports"",""Row ID"",""5228259"",""Segment 1"",""5021"",""Seg"&amp;"ment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Desc"&amp;"ription"","""",""Segment 6"","""",""Segment 6 Description"","""",""Segment 7"","""",""Segment 7 Description"","""",""Segment 8"","""",""Segment 8 Description"","""",""Segment 9"","""",""Segment 9 Description"","""",""Transaction Amount"",""15.70000"",""Transaction Date"",""11/7/2024"",""Transaction"&amp;" Description"","""",""Vendor Name"","""",""Vendor Number"","""",""Journal Entry"",""1577961"""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Amount","15.70000","Document Date","1/1/1900","Document Number","","Document Sequence","2097152","Period ID","2","Posting Type","Profit and Loss","Reference","Payroll Period-End Reports","Row ID","5228259","Segment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Amount","15.70000","Transaction Date","11/7/2024","Transaction Description","","Vendor Name","","Vendor Number","","Journal Entry","1577961"</v>
      </c>
      <c r="L78" s="19">
        <v>45603</v>
      </c>
      <c r="M78">
        <v>1577961</v>
      </c>
      <c r="N78" t="str">
        <f>""</f>
        <v/>
      </c>
      <c r="O78" t="str">
        <f>""</f>
        <v/>
      </c>
      <c r="P78" t="str">
        <f>"Payroll Period-End Reports"</f>
        <v>Payroll Period-End Reports</v>
      </c>
      <c r="Q78" s="20" t="str">
        <f>""</f>
        <v/>
      </c>
      <c r="R78" s="21">
        <v>15.7</v>
      </c>
      <c r="S78" s="21">
        <v>0</v>
      </c>
      <c r="T78" s="22">
        <f t="shared" si="12"/>
        <v>15.7</v>
      </c>
    </row>
    <row r="79" spans="1:20" x14ac:dyDescent="0.25">
      <c r="A79" s="1" t="s">
        <v>25</v>
      </c>
      <c r="B79" s="17"/>
      <c r="C79" s="17"/>
      <c r="F79" s="17" t="e">
        <f t="shared" si="13"/>
        <v>#REF!</v>
      </c>
      <c r="G79" s="17" t="e">
        <f t="shared" si="13"/>
        <v>#REF!</v>
      </c>
      <c r="H79" s="18"/>
      <c r="K79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Amount"",""16.99000"",""Document Date"",""1/1/1900"",""Document Number"",""DD000000000000138265"",""Document Sequence"",""65536"",""Period ID"",""2"",""Posting Type"",""Profit and Loss"",""Reference"",""Payroll Computer Checks"",""Row ID"",""5191841"",""Segment"&amp;"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Amount"",""16.99000"",""Transaction Date"",""11/7/202"&amp;"4"",""Transaction Description"","""",""Vendor Name"",""LAUB, REBECCA"",""Vendor Number"",""2772"",""Journal Entry"",""1571120"""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Amount","16.99000","Document Date","1/1/1900","Document Number","DD000000000000138265","Document Sequence","65536","Period ID","2","Posting Type","Profit and Loss","Reference","Payroll Computer Checks","Row ID","5191841","Segment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Amount","16.99000","Transaction Date","11/7/2024","Transaction Description","","Vendor Name","LAUB, REBECCA","Vendor Number","2772","Journal Entry","1571120"</v>
      </c>
      <c r="L79" s="19">
        <v>45603</v>
      </c>
      <c r="M79">
        <v>1571120</v>
      </c>
      <c r="N79" t="str">
        <f>"Payroll Check"</f>
        <v>Payroll Check</v>
      </c>
      <c r="O79" t="str">
        <f>"DD000000000000138265"</f>
        <v>DD000000000000138265</v>
      </c>
      <c r="P79" t="str">
        <f>"Payroll Computer Checks"</f>
        <v>Payroll Computer Checks</v>
      </c>
      <c r="Q79" s="20" t="str">
        <f>""</f>
        <v/>
      </c>
      <c r="R79" s="21">
        <v>16.989999999999998</v>
      </c>
      <c r="S79" s="21">
        <v>0</v>
      </c>
      <c r="T79" s="22">
        <f t="shared" si="12"/>
        <v>16.989999999999998</v>
      </c>
    </row>
    <row r="80" spans="1:20" x14ac:dyDescent="0.25">
      <c r="A80" s="1" t="s">
        <v>25</v>
      </c>
      <c r="B80" s="17"/>
      <c r="C80" s="17"/>
      <c r="F80" s="17" t="e">
        <f t="shared" si="13"/>
        <v>#REF!</v>
      </c>
      <c r="G80" s="17" t="e">
        <f t="shared" si="13"/>
        <v>#REF!</v>
      </c>
      <c r="H80" s="18"/>
      <c r="K80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Amount"",""18.43000"",""Document Date"",""1/1/1900"",""Document Number"",""DD000000000000138266"",""Document Sequence"",""131072"",""Period ID"",""2"",""Posting Type"",""Profit and Loss"",""Reference"",""Payroll Computer Checks"",""Row ID"",""5194371"",""Segmen"&amp;"t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Amount"",""18.43000"",""Transaction Date"",""11/7/20"&amp;"24"",""Transaction Description"","""",""Vendor Name"",""THACKER, STEPHANIE"",""Vendor Number"",""928"",""Journal Entry"",""1571263"""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Amount","18.43000","Document Date","1/1/1900","Document Number","DD000000000000138266","Document Sequence","131072","Period ID","2","Posting Type","Profit and Loss","Reference","Payroll Computer Checks","Row ID","5194371","Segment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Amount","18.43000","Transaction Date","11/7/2024","Transaction Description","","Vendor Name","THACKER, STEPHANIE","Vendor Number","928","Journal Entry","1571263"</v>
      </c>
      <c r="L80" s="19">
        <v>45603</v>
      </c>
      <c r="M80">
        <v>1571263</v>
      </c>
      <c r="N80" t="str">
        <f>"Payroll Check"</f>
        <v>Payroll Check</v>
      </c>
      <c r="O80" t="str">
        <f>"DD000000000000138266"</f>
        <v>DD000000000000138266</v>
      </c>
      <c r="P80" t="str">
        <f>"Payroll Computer Checks"</f>
        <v>Payroll Computer Checks</v>
      </c>
      <c r="Q80" s="20" t="str">
        <f>""</f>
        <v/>
      </c>
      <c r="R80" s="21">
        <v>18.43</v>
      </c>
      <c r="S80" s="21">
        <v>0</v>
      </c>
      <c r="T80" s="22">
        <f t="shared" si="12"/>
        <v>18.43</v>
      </c>
    </row>
    <row r="81" spans="1:20" x14ac:dyDescent="0.25">
      <c r="A81" s="1" t="s">
        <v>25</v>
      </c>
      <c r="B81" s="17"/>
      <c r="C81" s="17"/>
      <c r="F81" s="17" t="e">
        <f t="shared" ref="F81:G112" si="14">F80</f>
        <v>#REF!</v>
      </c>
      <c r="G81" s="17" t="e">
        <f t="shared" si="14"/>
        <v>#REF!</v>
      </c>
      <c r="H81" s="18"/>
      <c r="K81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Amount"",""27.25000"",""Document Date"",""1/1/1900"",""Document Number"","""",""Document Sequence"",""2080768"",""Period ID"",""2"",""Posting Type"",""Profit and Loss"",""Reference"",""Payroll Period-End Reports"",""Row ID"",""5228258"",""Segment 1"",""5021"",""Seg"&amp;"ment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Desc"&amp;"ription"","""",""Segment 6"","""",""Segment 6 Description"","""",""Segment 7"","""",""Segment 7 Description"","""",""Segment 8"","""",""Segment 8 Description"","""",""Segment 9"","""",""Segment 9 Description"","""",""Transaction Amount"",""27.25000"",""Transaction Date"",""11/7/2024"",""Transaction"&amp;" Description"","""",""Vendor Name"","""",""Vendor Number"","""",""Journal Entry"",""1577961"""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Amount","27.25000","Document Date","1/1/1900","Document Number","","Document Sequence","2080768","Period ID","2","Posting Type","Profit and Loss","Reference","Payroll Period-End Reports","Row ID","5228258","Segment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Amount","27.25000","Transaction Date","11/7/2024","Transaction Description","","Vendor Name","","Vendor Number","","Journal Entry","1577961"</v>
      </c>
      <c r="L81" s="19">
        <v>45603</v>
      </c>
      <c r="M81">
        <v>1577961</v>
      </c>
      <c r="N81" t="str">
        <f>""</f>
        <v/>
      </c>
      <c r="O81" t="str">
        <f>""</f>
        <v/>
      </c>
      <c r="P81" t="str">
        <f>"Payroll Period-End Reports"</f>
        <v>Payroll Period-End Reports</v>
      </c>
      <c r="Q81" s="20" t="str">
        <f>""</f>
        <v/>
      </c>
      <c r="R81" s="21">
        <v>27.25</v>
      </c>
      <c r="S81" s="21">
        <v>0</v>
      </c>
      <c r="T81" s="22">
        <f t="shared" si="12"/>
        <v>27.25</v>
      </c>
    </row>
    <row r="82" spans="1:20" x14ac:dyDescent="0.25">
      <c r="A82" s="1" t="s">
        <v>25</v>
      </c>
      <c r="B82" s="17"/>
      <c r="C82" s="17"/>
      <c r="F82" s="17" t="e">
        <f t="shared" si="14"/>
        <v>#REF!</v>
      </c>
      <c r="G82" s="17" t="e">
        <f t="shared" si="14"/>
        <v>#REF!</v>
      </c>
      <c r="H82" s="18"/>
      <c r="K82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Amount"",""29.97000"",""Document Date"",""1/1/1900"",""Document Number"","""",""Document Sequence"",""11157504"",""Period ID"",""2"",""Posting Type"",""Profit and Loss"",""Reference"",""Payroll Period-End Reports"",""Row ID"",""5228261"",""Segment 1"",""5021"",""Se"&amp;"gment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Des"&amp;"cription"","""",""Segment 6"","""",""Segment 6 Description"","""",""Segment 7"","""",""Segment 7 Description"","""",""Segment 8"","""",""Segment 8 Description"","""",""Segment 9"","""",""Segment 9 Description"","""",""Transaction Amount"",""29.97000"",""Transaction Date"",""11/7/2024"",""Transactio"&amp;"n Description"","""",""Vendor Name"","""",""Vendor Number"","""",""Journal Entry"",""1577961"""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Amount","29.97000","Document Date","1/1/1900","Document Number","","Document Sequence","11157504","Period ID","2","Posting Type","Profit and Loss","Reference","Payroll Period-End Reports","Row ID","5228261","Segment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Amount","29.97000","Transaction Date","11/7/2024","Transaction Description","","Vendor Name","","Vendor Number","","Journal Entry","1577961"</v>
      </c>
      <c r="L82" s="19">
        <v>45603</v>
      </c>
      <c r="M82">
        <v>1577961</v>
      </c>
      <c r="N82" t="str">
        <f>""</f>
        <v/>
      </c>
      <c r="O82" t="str">
        <f>""</f>
        <v/>
      </c>
      <c r="P82" t="str">
        <f>"Payroll Period-End Reports"</f>
        <v>Payroll Period-End Reports</v>
      </c>
      <c r="Q82" s="20" t="str">
        <f>""</f>
        <v/>
      </c>
      <c r="R82" s="21">
        <v>29.97</v>
      </c>
      <c r="S82" s="21">
        <v>0</v>
      </c>
      <c r="T82" s="22">
        <f t="shared" si="12"/>
        <v>29.97</v>
      </c>
    </row>
    <row r="83" spans="1:20" x14ac:dyDescent="0.25">
      <c r="A83" s="1" t="s">
        <v>25</v>
      </c>
      <c r="B83" s="17"/>
      <c r="C83" s="17"/>
      <c r="F83" s="17" t="e">
        <f t="shared" si="14"/>
        <v>#REF!</v>
      </c>
      <c r="G83" s="17" t="e">
        <f t="shared" si="14"/>
        <v>#REF!</v>
      </c>
      <c r="H83" s="18"/>
      <c r="K83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Amount"",""41.34000"",""Document Date"",""1/1/1900"",""Document Number"",""DD000000000000138264"",""Document Sequence"",""131072"",""Period ID"",""2"",""Posting Type"",""Profit and Loss"",""Reference"",""Payroll Computer Checks"",""Row ID"",""5194353"",""Segmen"&amp;"t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Amount"",""41.34000"",""Transaction Date"",""11/7/20"&amp;"24"",""Transaction Description"","""",""Vendor Name"",""ESPLIN, TAMMIE A."",""Vendor Number"",""927"",""Journal Entry"",""1571262"""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Amount","41.34000","Document Date","1/1/1900","Document Number","DD000000000000138264","Document Sequence","131072","Period ID","2","Posting Type","Profit and Loss","Reference","Payroll Computer Checks","Row ID","5194353","Segment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Amount","41.34000","Transaction Date","11/7/2024","Transaction Description","","Vendor Name","ESPLIN, TAMMIE A.","Vendor Number","927","Journal Entry","1571262"</v>
      </c>
      <c r="L83" s="19">
        <v>45603</v>
      </c>
      <c r="M83">
        <v>1571262</v>
      </c>
      <c r="N83" t="str">
        <f>"Payroll Check"</f>
        <v>Payroll Check</v>
      </c>
      <c r="O83" t="str">
        <f>"DD000000000000138264"</f>
        <v>DD000000000000138264</v>
      </c>
      <c r="P83" t="str">
        <f>"Payroll Computer Checks"</f>
        <v>Payroll Computer Checks</v>
      </c>
      <c r="Q83" s="20" t="str">
        <f>""</f>
        <v/>
      </c>
      <c r="R83" s="21">
        <v>41.34</v>
      </c>
      <c r="S83" s="21">
        <v>0</v>
      </c>
      <c r="T83" s="22">
        <f t="shared" si="12"/>
        <v>41.34</v>
      </c>
    </row>
    <row r="84" spans="1:20" x14ac:dyDescent="0.25">
      <c r="A84" s="1" t="s">
        <v>25</v>
      </c>
      <c r="B84" s="17"/>
      <c r="C84" s="17"/>
      <c r="F84" s="17" t="e">
        <f t="shared" si="14"/>
        <v>#REF!</v>
      </c>
      <c r="G84" s="17" t="e">
        <f t="shared" si="14"/>
        <v>#REF!</v>
      </c>
      <c r="H84" s="18"/>
      <c r="K84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Amount"",""78.80000"",""Document Date"",""1/1/1900"",""Document Number"",""DD000000000000138266"",""Document Sequence"",""81920"",""Period ID"",""2"",""Posting Type"",""Profit and Loss"",""Reference"",""Payroll Computer Checks"",""Row ID"",""5194370"",""Segment"&amp;"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Amount"",""78.80000"",""Transaction Date"",""11/7/202"&amp;"4"",""Transaction Description"","""",""Vendor Name"",""THACKER, STEPHANIE"",""Vendor Number"",""928"",""Journal Entry"",""1571263"""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Amount","78.80000","Document Date","1/1/1900","Document Number","DD000000000000138266","Document Sequence","81920","Period ID","2","Posting Type","Profit and Loss","Reference","Payroll Computer Checks","Row ID","5194370","Segment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Amount","78.80000","Transaction Date","11/7/2024","Transaction Description","","Vendor Name","THACKER, STEPHANIE","Vendor Number","928","Journal Entry","1571263"</v>
      </c>
      <c r="L84" s="19">
        <v>45603</v>
      </c>
      <c r="M84">
        <v>1571263</v>
      </c>
      <c r="N84" t="str">
        <f>"Payroll Check"</f>
        <v>Payroll Check</v>
      </c>
      <c r="O84" t="str">
        <f>"DD000000000000138266"</f>
        <v>DD000000000000138266</v>
      </c>
      <c r="P84" t="str">
        <f>"Payroll Computer Checks"</f>
        <v>Payroll Computer Checks</v>
      </c>
      <c r="Q84" s="20" t="str">
        <f>""</f>
        <v/>
      </c>
      <c r="R84" s="21">
        <v>78.8</v>
      </c>
      <c r="S84" s="21">
        <v>0</v>
      </c>
      <c r="T84" s="22">
        <f t="shared" si="12"/>
        <v>78.8</v>
      </c>
    </row>
    <row r="85" spans="1:20" x14ac:dyDescent="0.25">
      <c r="A85" s="1" t="s">
        <v>25</v>
      </c>
      <c r="B85" s="17"/>
      <c r="C85" s="17"/>
      <c r="F85" s="17" t="e">
        <f t="shared" si="14"/>
        <v>#REF!</v>
      </c>
      <c r="G85" s="17" t="e">
        <f t="shared" si="14"/>
        <v>#REF!</v>
      </c>
      <c r="H85" s="18"/>
      <c r="K85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Amount"",""176.77000"",""Document Date"",""1/1/1900"",""Document Number"",""DD000000000000138264"",""Document Sequence"",""81920"",""Period ID"",""2"",""Posting Type"",""Profit and Loss"",""Reference"",""Payroll Computer Checks"",""Row ID"",""5194352"",""Segmen"&amp;"t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Amount"",""176.77000"",""Transaction Date"",""11/7/2"&amp;"024"",""Transaction Description"","""",""Vendor Name"",""ESPLIN, TAMMIE A."",""Vendor Number"",""927"",""Journal Entry"",""1571262"""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Amount","176.77000","Document Date","1/1/1900","Document Number","DD000000000000138264","Document Sequence","81920","Period ID","2","Posting Type","Profit and Loss","Reference","Payroll Computer Checks","Row ID","5194352","Segment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Amount","176.77000","Transaction Date","11/7/2024","Transaction Description","","Vendor Name","ESPLIN, TAMMIE A.","Vendor Number","927","Journal Entry","1571262"</v>
      </c>
      <c r="L85" s="19">
        <v>45603</v>
      </c>
      <c r="M85">
        <v>1571262</v>
      </c>
      <c r="N85" t="str">
        <f>"Payroll Check"</f>
        <v>Payroll Check</v>
      </c>
      <c r="O85" t="str">
        <f>"DD000000000000138264"</f>
        <v>DD000000000000138264</v>
      </c>
      <c r="P85" t="str">
        <f>"Payroll Computer Checks"</f>
        <v>Payroll Computer Checks</v>
      </c>
      <c r="Q85" s="20" t="str">
        <f>""</f>
        <v/>
      </c>
      <c r="R85" s="21">
        <v>176.77</v>
      </c>
      <c r="S85" s="21">
        <v>0</v>
      </c>
      <c r="T85" s="22">
        <f t="shared" si="12"/>
        <v>176.77</v>
      </c>
    </row>
    <row r="86" spans="1:20" x14ac:dyDescent="0.25">
      <c r="A86" s="1" t="s">
        <v>25</v>
      </c>
      <c r="B86" s="17"/>
      <c r="C86" s="17"/>
      <c r="F86" s="17" t="e">
        <f t="shared" si="14"/>
        <v>#REF!</v>
      </c>
      <c r="G86" s="17" t="e">
        <f t="shared" si="14"/>
        <v>#REF!</v>
      </c>
      <c r="H86" s="18"/>
      <c r="K86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Amount"",""4.12000"",""Document Date"",""1/1/1900"",""Document Number"","""",""Document Sequence"",""11239424"",""Period ID"",""2"",""Posting Type"",""Profit and Loss"",""Reference"",""Payroll Period-End Reports"",""Row ID"",""5230513"",""Segment 1"",""5021"",""Seg"&amp;"ment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Desc"&amp;"ription"","""",""Segment 6"","""",""Segment 6 Description"","""",""Segment 7"","""",""Segment 7 Description"","""",""Segment 8"","""",""Segment 8 Description"","""",""Segment 9"","""",""Segment 9 Description"","""",""Transaction Amount"",""4.12000"",""Transaction Date"",""11/21/2024"",""Transaction"&amp;" Description"","""",""Vendor Name"","""",""Vendor Number"","""",""Journal Entry"",""1577962"""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Amount","4.12000","Document Date","1/1/1900","Document Number","","Document Sequence","11239424","Period ID","2","Posting Type","Profit and Loss","Reference","Payroll Period-End Reports","Row ID","5230513","Segment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Amount","4.12000","Transaction Date","11/21/2024","Transaction Description","","Vendor Name","","Vendor Number","","Journal Entry","1577962"</v>
      </c>
      <c r="L86" s="19">
        <v>45617</v>
      </c>
      <c r="M86">
        <v>1577962</v>
      </c>
      <c r="N86" t="str">
        <f>""</f>
        <v/>
      </c>
      <c r="O86" t="str">
        <f>""</f>
        <v/>
      </c>
      <c r="P86" t="str">
        <f>"Payroll Period-End Reports"</f>
        <v>Payroll Period-End Reports</v>
      </c>
      <c r="Q86" s="20" t="str">
        <f>""</f>
        <v/>
      </c>
      <c r="R86" s="21">
        <v>4.12</v>
      </c>
      <c r="S86" s="21">
        <v>0</v>
      </c>
      <c r="T86" s="22">
        <f t="shared" si="12"/>
        <v>4.12</v>
      </c>
    </row>
    <row r="87" spans="1:20" x14ac:dyDescent="0.25">
      <c r="A87" s="1" t="s">
        <v>25</v>
      </c>
      <c r="B87" s="17"/>
      <c r="C87" s="17"/>
      <c r="F87" s="17" t="e">
        <f t="shared" si="14"/>
        <v>#REF!</v>
      </c>
      <c r="G87" s="17" t="e">
        <f t="shared" si="14"/>
        <v>#REF!</v>
      </c>
      <c r="H87" s="18"/>
      <c r="K87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Amount"",""5.35000"",""Document Date"",""1/1/1900"",""Document Number"","""",""Document Sequence"",""2146304"",""Period ID"",""2"",""Posting Type"",""Profit and Loss"",""Reference"",""Payroll Period-End Reports"",""Row ID"",""5230510"",""Segment 1"",""5021"",""Segm"&amp;"ent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Descr"&amp;"iption"","""",""Segment 6"","""",""Segment 6 Description"","""",""Segment 7"","""",""Segment 7 Description"","""",""Segment 8"","""",""Segment 8 Description"","""",""Segment 9"","""",""Segment 9 Description"","""",""Transaction Amount"",""5.35000"",""Transaction Date"",""11/21/2024"",""Transaction "&amp;"Description"","""",""Vendor Name"","""",""Vendor Number"","""",""Journal Entry"",""1577962"""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Amount","5.35000","Document Date","1/1/1900","Document Number","","Document Sequence","2146304","Period ID","2","Posting Type","Profit and Loss","Reference","Payroll Period-End Reports","Row ID","5230510","Segment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Amount","5.35000","Transaction Date","11/21/2024","Transaction Description","","Vendor Name","","Vendor Number","","Journal Entry","1577962"</v>
      </c>
      <c r="L87" s="19">
        <v>45617</v>
      </c>
      <c r="M87">
        <v>1577962</v>
      </c>
      <c r="N87" t="str">
        <f>""</f>
        <v/>
      </c>
      <c r="O87" t="str">
        <f>""</f>
        <v/>
      </c>
      <c r="P87" t="str">
        <f>"Payroll Period-End Reports"</f>
        <v>Payroll Period-End Reports</v>
      </c>
      <c r="Q87" s="20" t="str">
        <f>""</f>
        <v/>
      </c>
      <c r="R87" s="21">
        <v>5.35</v>
      </c>
      <c r="S87" s="21">
        <v>0</v>
      </c>
      <c r="T87" s="22">
        <f t="shared" si="12"/>
        <v>5.35</v>
      </c>
    </row>
    <row r="88" spans="1:20" x14ac:dyDescent="0.25">
      <c r="A88" s="1" t="s">
        <v>25</v>
      </c>
      <c r="B88" s="17"/>
      <c r="C88" s="17"/>
      <c r="F88" s="17" t="e">
        <f t="shared" si="14"/>
        <v>#REF!</v>
      </c>
      <c r="G88" s="17" t="e">
        <f t="shared" si="14"/>
        <v>#REF!</v>
      </c>
      <c r="H88" s="18"/>
      <c r="K88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Amount"",""5.97000"",""Document Date"",""1/1/1900"",""Document Number"",""DD000000000000138652"",""Document Sequence"",""114688"",""Period ID"",""2"",""Posting Type"",""Profit and Loss"",""Reference"",""Payroll Computer Checks"",""Row ID"",""5209470"",""Segment"&amp;"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Amount"",""5.97000"",""Transaction Date"",""11/21/202"&amp;"4"",""Transaction Description"","""",""Vendor Name"",""LAUB, REBECCA"",""Vendor Number"",""2772"",""Journal Entry"",""1574699"""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Amount","5.97000","Document Date","1/1/1900","Document Number","DD000000000000138652","Document Sequence","114688","Period ID","2","Posting Type","Profit and Loss","Reference","Payroll Computer Checks","Row ID","5209470","Segment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Amount","5.97000","Transaction Date","11/21/2024","Transaction Description","","Vendor Name","LAUB, REBECCA","Vendor Number","2772","Journal Entry","1574699"</v>
      </c>
      <c r="L88" s="19">
        <v>45617</v>
      </c>
      <c r="M88">
        <v>1574699</v>
      </c>
      <c r="N88" t="str">
        <f>"Payroll Check"</f>
        <v>Payroll Check</v>
      </c>
      <c r="O88" t="str">
        <f>"DD000000000000138652"</f>
        <v>DD000000000000138652</v>
      </c>
      <c r="P88" t="str">
        <f>"Payroll Computer Checks"</f>
        <v>Payroll Computer Checks</v>
      </c>
      <c r="Q88" s="20" t="str">
        <f>""</f>
        <v/>
      </c>
      <c r="R88" s="21">
        <v>5.97</v>
      </c>
      <c r="S88" s="21">
        <v>0</v>
      </c>
      <c r="T88" s="22">
        <f t="shared" si="12"/>
        <v>5.97</v>
      </c>
    </row>
    <row r="89" spans="1:20" x14ac:dyDescent="0.25">
      <c r="A89" s="1" t="s">
        <v>25</v>
      </c>
      <c r="B89" s="17"/>
      <c r="C89" s="17"/>
      <c r="F89" s="17" t="e">
        <f t="shared" si="14"/>
        <v>#REF!</v>
      </c>
      <c r="G89" s="17" t="e">
        <f t="shared" si="14"/>
        <v>#REF!</v>
      </c>
      <c r="H89" s="18"/>
      <c r="K89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Amount"",""12.71000"",""Document Date"",""1/1/1900"",""Document Number"","""",""Document Sequence"",""11223040"",""Period ID"",""2"",""Posting Type"",""Profit and Loss"",""Reference"",""Payroll Period-End Reports"",""Row ID"",""5230512"",""Segment 1"",""5021"",""Se"&amp;"gment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Des"&amp;"cription"","""",""Segment 6"","""",""Segment 6 Description"","""",""Segment 7"","""",""Segment 7 Description"","""",""Segment 8"","""",""Segment 8 Description"","""",""Segment 9"","""",""Segment 9 Description"","""",""Transaction Amount"",""12.71000"",""Transaction Date"",""11/21/2024"",""Transacti"&amp;"on Description"","""",""Vendor Name"","""",""Vendor Number"","""",""Journal Entry"",""1577962"""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Amount","12.71000","Document Date","1/1/1900","Document Number","","Document Sequence","11223040","Period ID","2","Posting Type","Profit and Loss","Reference","Payroll Period-End Reports","Row ID","5230512","Segment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Amount","12.71000","Transaction Date","11/21/2024","Transaction Description","","Vendor Name","","Vendor Number","","Journal Entry","1577962"</v>
      </c>
      <c r="L89" s="19">
        <v>45617</v>
      </c>
      <c r="M89">
        <v>1577962</v>
      </c>
      <c r="N89" t="str">
        <f>""</f>
        <v/>
      </c>
      <c r="O89" t="str">
        <f>""</f>
        <v/>
      </c>
      <c r="P89" t="str">
        <f>"Payroll Period-End Reports"</f>
        <v>Payroll Period-End Reports</v>
      </c>
      <c r="Q89" s="20" t="str">
        <f>""</f>
        <v/>
      </c>
      <c r="R89" s="21">
        <v>12.71</v>
      </c>
      <c r="S89" s="21">
        <v>0</v>
      </c>
      <c r="T89" s="22">
        <f t="shared" si="12"/>
        <v>12.71</v>
      </c>
    </row>
    <row r="90" spans="1:20" x14ac:dyDescent="0.25">
      <c r="A90" s="1" t="s">
        <v>25</v>
      </c>
      <c r="B90" s="17"/>
      <c r="C90" s="17"/>
      <c r="F90" s="17" t="e">
        <f t="shared" si="14"/>
        <v>#REF!</v>
      </c>
      <c r="G90" s="17" t="e">
        <f t="shared" si="14"/>
        <v>#REF!</v>
      </c>
      <c r="H90" s="18"/>
      <c r="K90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Amount"",""15.70000"",""Document Date"",""1/1/1900"",""Document Number"","""",""Document Sequence"",""2129920"",""Period ID"",""2"",""Posting Type"",""Profit and Loss"",""Reference"",""Payroll Period-End Reports"",""Row ID"",""5230509"",""Segment 1"",""5021"",""Seg"&amp;"ment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Desc"&amp;"ription"","""",""Segment 6"","""",""Segment 6 Description"","""",""Segment 7"","""",""Segment 7 Description"","""",""Segment 8"","""",""Segment 8 Description"","""",""Segment 9"","""",""Segment 9 Description"","""",""Transaction Amount"",""15.70000"",""Transaction Date"",""11/21/2024"",""Transactio"&amp;"n Description"","""",""Vendor Name"","""",""Vendor Number"","""",""Journal Entry"",""1577962"""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Amount","15.70000","Document Date","1/1/1900","Document Number","","Document Sequence","2129920","Period ID","2","Posting Type","Profit and Loss","Reference","Payroll Period-End Reports","Row ID","5230509","Segment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Amount","15.70000","Transaction Date","11/21/2024","Transaction Description","","Vendor Name","","Vendor Number","","Journal Entry","1577962"</v>
      </c>
      <c r="L90" s="19">
        <v>45617</v>
      </c>
      <c r="M90">
        <v>1577962</v>
      </c>
      <c r="N90" t="str">
        <f>""</f>
        <v/>
      </c>
      <c r="O90" t="str">
        <f>""</f>
        <v/>
      </c>
      <c r="P90" t="str">
        <f>"Payroll Period-End Reports"</f>
        <v>Payroll Period-End Reports</v>
      </c>
      <c r="Q90" s="20" t="str">
        <f>""</f>
        <v/>
      </c>
      <c r="R90" s="21">
        <v>15.7</v>
      </c>
      <c r="S90" s="21">
        <v>0</v>
      </c>
      <c r="T90" s="22">
        <f t="shared" si="12"/>
        <v>15.7</v>
      </c>
    </row>
    <row r="91" spans="1:20" x14ac:dyDescent="0.25">
      <c r="A91" s="1" t="s">
        <v>25</v>
      </c>
      <c r="B91" s="17"/>
      <c r="C91" s="17"/>
      <c r="F91" s="17" t="e">
        <f t="shared" si="14"/>
        <v>#REF!</v>
      </c>
      <c r="G91" s="17" t="e">
        <f t="shared" si="14"/>
        <v>#REF!</v>
      </c>
      <c r="H91" s="18"/>
      <c r="K91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Amount"",""18.43000"",""Document Date"",""1/1/1900"",""Document Number"",""DD000000000000138653"",""Document Sequence"",""131072"",""Period ID"",""2"",""Posting Type"",""Profit and Loss"",""Reference"",""Payroll Computer Checks"",""Row ID"",""5212040"",""Segmen"&amp;"t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Amount"",""18.43000"",""Transaction Date"",""11/21/2"&amp;"024"",""Transaction Description"","""",""Vendor Name"",""THACKER, STEPHANIE"",""Vendor Number"",""928"",""Journal Entry"",""1574842"""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Amount","18.43000","Document Date","1/1/1900","Document Number","DD000000000000138653","Document Sequence","131072","Period ID","2","Posting Type","Profit and Loss","Reference","Payroll Computer Checks","Row ID","5212040","Segment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Amount","18.43000","Transaction Date","11/21/2024","Transaction Description","","Vendor Name","THACKER, STEPHANIE","Vendor Number","928","Journal Entry","1574842"</v>
      </c>
      <c r="L91" s="19">
        <v>45617</v>
      </c>
      <c r="M91">
        <v>1574842</v>
      </c>
      <c r="N91" t="str">
        <f>"Payroll Check"</f>
        <v>Payroll Check</v>
      </c>
      <c r="O91" t="str">
        <f>"DD000000000000138653"</f>
        <v>DD000000000000138653</v>
      </c>
      <c r="P91" t="str">
        <f>"Payroll Computer Checks"</f>
        <v>Payroll Computer Checks</v>
      </c>
      <c r="Q91" s="20" t="str">
        <f>""</f>
        <v/>
      </c>
      <c r="R91" s="21">
        <v>18.43</v>
      </c>
      <c r="S91" s="21">
        <v>0</v>
      </c>
      <c r="T91" s="22">
        <f t="shared" si="12"/>
        <v>18.43</v>
      </c>
    </row>
    <row r="92" spans="1:20" x14ac:dyDescent="0.25">
      <c r="A92" s="1" t="s">
        <v>25</v>
      </c>
      <c r="B92" s="17"/>
      <c r="C92" s="17"/>
      <c r="F92" s="17" t="e">
        <f t="shared" si="14"/>
        <v>#REF!</v>
      </c>
      <c r="G92" s="17" t="e">
        <f t="shared" si="14"/>
        <v>#REF!</v>
      </c>
      <c r="H92" s="18"/>
      <c r="K92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Amount"",""25.51000"",""Document Date"",""1/1/1900"",""Document Number"",""DD000000000000138652"",""Document Sequence"",""65536"",""Period ID"",""2"",""Posting Type"",""Profit and Loss"",""Reference"",""Payroll Computer Checks"",""Row ID"",""5209469"",""Segment"&amp;"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Amount"",""25.51000"",""Transaction Date"",""11/21/20"&amp;"24"",""Transaction Description"","""",""Vendor Name"",""LAUB, REBECCA"",""Vendor Number"",""2772"",""Journal Entry"",""1574699"""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Amount","25.51000","Document Date","1/1/1900","Document Number","DD000000000000138652","Document Sequence","65536","Period ID","2","Posting Type","Profit and Loss","Reference","Payroll Computer Checks","Row ID","5209469","Segment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Amount","25.51000","Transaction Date","11/21/2024","Transaction Description","","Vendor Name","LAUB, REBECCA","Vendor Number","2772","Journal Entry","1574699"</v>
      </c>
      <c r="L92" s="19">
        <v>45617</v>
      </c>
      <c r="M92">
        <v>1574699</v>
      </c>
      <c r="N92" t="str">
        <f>"Payroll Check"</f>
        <v>Payroll Check</v>
      </c>
      <c r="O92" t="str">
        <f>"DD000000000000138652"</f>
        <v>DD000000000000138652</v>
      </c>
      <c r="P92" t="str">
        <f>"Payroll Computer Checks"</f>
        <v>Payroll Computer Checks</v>
      </c>
      <c r="Q92" s="20" t="str">
        <f>""</f>
        <v/>
      </c>
      <c r="R92" s="21">
        <v>25.51</v>
      </c>
      <c r="S92" s="21">
        <v>0</v>
      </c>
      <c r="T92" s="22">
        <f t="shared" si="12"/>
        <v>25.51</v>
      </c>
    </row>
    <row r="93" spans="1:20" x14ac:dyDescent="0.25">
      <c r="A93" s="1" t="s">
        <v>25</v>
      </c>
      <c r="B93" s="17"/>
      <c r="C93" s="17"/>
      <c r="F93" s="17" t="e">
        <f t="shared" si="14"/>
        <v>#REF!</v>
      </c>
      <c r="G93" s="17" t="e">
        <f t="shared" si="14"/>
        <v>#REF!</v>
      </c>
      <c r="H93" s="18"/>
      <c r="K93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Amount"",""29.23000"",""Document Date"",""1/1/1900"",""Document Number"","""",""Document Sequence"",""11206656"",""Period ID"",""2"",""Posting Type"",""Profit and Loss"",""Reference"",""Payroll Period-End Reports"",""Row ID"",""5230511"",""Segment 1"",""5021"",""Se"&amp;"gment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Des"&amp;"cription"","""",""Segment 6"","""",""Segment 6 Description"","""",""Segment 7"","""",""Segment 7 Description"","""",""Segment 8"","""",""Segment 8 Description"","""",""Segment 9"","""",""Segment 9 Description"","""",""Transaction Amount"",""29.23000"",""Transaction Date"",""11/21/2024"",""Transacti"&amp;"on Description"","""",""Vendor Name"","""",""Vendor Number"","""",""Journal Entry"",""1577962"""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Amount","29.23000","Document Date","1/1/1900","Document Number","","Document Sequence","11206656","Period ID","2","Posting Type","Profit and Loss","Reference","Payroll Period-End Reports","Row ID","5230511","Segment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Amount","29.23000","Transaction Date","11/21/2024","Transaction Description","","Vendor Name","","Vendor Number","","Journal Entry","1577962"</v>
      </c>
      <c r="L93" s="19">
        <v>45617</v>
      </c>
      <c r="M93">
        <v>1577962</v>
      </c>
      <c r="N93" t="str">
        <f>""</f>
        <v/>
      </c>
      <c r="O93" t="str">
        <f>""</f>
        <v/>
      </c>
      <c r="P93" t="str">
        <f>"Payroll Period-End Reports"</f>
        <v>Payroll Period-End Reports</v>
      </c>
      <c r="Q93" s="20" t="str">
        <f>""</f>
        <v/>
      </c>
      <c r="R93" s="21">
        <v>29.23</v>
      </c>
      <c r="S93" s="21">
        <v>0</v>
      </c>
      <c r="T93" s="22">
        <f t="shared" si="12"/>
        <v>29.23</v>
      </c>
    </row>
    <row r="94" spans="1:20" x14ac:dyDescent="0.25">
      <c r="A94" s="1" t="s">
        <v>25</v>
      </c>
      <c r="B94" s="17"/>
      <c r="C94" s="17"/>
      <c r="F94" s="17" t="e">
        <f t="shared" si="14"/>
        <v>#REF!</v>
      </c>
      <c r="G94" s="17" t="e">
        <f t="shared" si="14"/>
        <v>#REF!</v>
      </c>
      <c r="H94" s="18"/>
      <c r="K94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Amount"",""40.26000"",""Document Date"",""1/1/1900"",""Document Number"",""DD000000000000138651"",""Document Sequence"",""131072"",""Period ID"",""2"",""Posting Type"",""Profit and Loss"",""Reference"",""Payroll Computer Checks"",""Row ID"",""5212021"",""Segmen"&amp;"t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Amount"",""40.26000"",""Transaction Date"",""11/21/2"&amp;"024"",""Transaction Description"","""",""Vendor Name"",""ESPLIN, TAMMIE A."",""Vendor Number"",""927"",""Journal Entry"",""1574841"""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Amount","40.26000","Document Date","1/1/1900","Document Number","DD000000000000138651","Document Sequence","131072","Period ID","2","Posting Type","Profit and Loss","Reference","Payroll Computer Checks","Row ID","5212021","Segment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Amount","40.26000","Transaction Date","11/21/2024","Transaction Description","","Vendor Name","ESPLIN, TAMMIE A.","Vendor Number","927","Journal Entry","1574841"</v>
      </c>
      <c r="L94" s="19">
        <v>45617</v>
      </c>
      <c r="M94">
        <v>1574841</v>
      </c>
      <c r="N94" t="str">
        <f>"Payroll Check"</f>
        <v>Payroll Check</v>
      </c>
      <c r="O94" t="str">
        <f>"DD000000000000138651"</f>
        <v>DD000000000000138651</v>
      </c>
      <c r="P94" t="str">
        <f>"Payroll Computer Checks"</f>
        <v>Payroll Computer Checks</v>
      </c>
      <c r="Q94" s="20" t="str">
        <f>""</f>
        <v/>
      </c>
      <c r="R94" s="21">
        <v>40.26</v>
      </c>
      <c r="S94" s="21">
        <v>0</v>
      </c>
      <c r="T94" s="22">
        <f t="shared" si="12"/>
        <v>40.26</v>
      </c>
    </row>
    <row r="95" spans="1:20" x14ac:dyDescent="0.25">
      <c r="A95" s="1" t="s">
        <v>25</v>
      </c>
      <c r="B95" s="17"/>
      <c r="C95" s="17"/>
      <c r="F95" s="17" t="e">
        <f t="shared" si="14"/>
        <v>#REF!</v>
      </c>
      <c r="G95" s="17" t="e">
        <f t="shared" si="14"/>
        <v>#REF!</v>
      </c>
      <c r="H95" s="18"/>
      <c r="K95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Amount"",""78.81000"",""Document Date"",""1/1/1900"",""Document Number"",""DD000000000000138653"",""Document Sequence"",""81920"",""Period ID"",""2"",""Posting Type"",""Profit and Loss"",""Reference"",""Payroll Computer Checks"",""Row ID"",""5212039"",""Segment"&amp;"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Amount"",""78.81000"",""Transaction Date"",""11/21/20"&amp;"24"",""Transaction Description"","""",""Vendor Name"",""THACKER, STEPHANIE"",""Vendor Number"",""928"",""Journal Entry"",""1574842"""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Amount","78.81000","Document Date","1/1/1900","Document Number","DD000000000000138653","Document Sequence","81920","Period ID","2","Posting Type","Profit and Loss","Reference","Payroll Computer Checks","Row ID","5212039","Segment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Amount","78.81000","Transaction Date","11/21/2024","Transaction Description","","Vendor Name","THACKER, STEPHANIE","Vendor Number","928","Journal Entry","1574842"</v>
      </c>
      <c r="L95" s="19">
        <v>45617</v>
      </c>
      <c r="M95">
        <v>1574842</v>
      </c>
      <c r="N95" t="str">
        <f>"Payroll Check"</f>
        <v>Payroll Check</v>
      </c>
      <c r="O95" t="str">
        <f>"DD000000000000138653"</f>
        <v>DD000000000000138653</v>
      </c>
      <c r="P95" t="str">
        <f>"Payroll Computer Checks"</f>
        <v>Payroll Computer Checks</v>
      </c>
      <c r="Q95" s="20" t="str">
        <f>""</f>
        <v/>
      </c>
      <c r="R95" s="21">
        <v>78.81</v>
      </c>
      <c r="S95" s="21">
        <v>0</v>
      </c>
      <c r="T95" s="22">
        <f t="shared" si="12"/>
        <v>78.81</v>
      </c>
    </row>
    <row r="96" spans="1:20" x14ac:dyDescent="0.25">
      <c r="A96" s="1" t="s">
        <v>25</v>
      </c>
      <c r="B96" s="17"/>
      <c r="C96" s="17"/>
      <c r="F96" s="17" t="e">
        <f t="shared" si="14"/>
        <v>#REF!</v>
      </c>
      <c r="G96" s="17" t="e">
        <f t="shared" si="14"/>
        <v>#REF!</v>
      </c>
      <c r="H96" s="18"/>
      <c r="K96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Amount"",""172.16000"",""Document Date"",""1/1/1900"",""Document Number"",""DD000000000000138651"",""Document Sequence"",""81920"",""Period ID"",""2"",""Posting Type"",""Profit and Loss"",""Reference"",""Payroll Computer Checks"",""Row ID"",""5212020"",""Segmen"&amp;"t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Amount"",""172.16000"",""Transaction Date"",""11/21/"&amp;"2024"",""Transaction Description"","""",""Vendor Name"",""ESPLIN, TAMMIE A."",""Vendor Number"",""927"",""Journal Entry"",""1574841"""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Amount","172.16000","Document Date","1/1/1900","Document Number","DD000000000000138651","Document Sequence","81920","Period ID","2","Posting Type","Profit and Loss","Reference","Payroll Computer Checks","Row ID","5212020","Segment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Amount","172.16000","Transaction Date","11/21/2024","Transaction Description","","Vendor Name","ESPLIN, TAMMIE A.","Vendor Number","927","Journal Entry","1574841"</v>
      </c>
      <c r="L96" s="19">
        <v>45617</v>
      </c>
      <c r="M96">
        <v>1574841</v>
      </c>
      <c r="N96" t="str">
        <f>"Payroll Check"</f>
        <v>Payroll Check</v>
      </c>
      <c r="O96" t="str">
        <f>"DD000000000000138651"</f>
        <v>DD000000000000138651</v>
      </c>
      <c r="P96" t="str">
        <f>"Payroll Computer Checks"</f>
        <v>Payroll Computer Checks</v>
      </c>
      <c r="Q96" s="20" t="str">
        <f>""</f>
        <v/>
      </c>
      <c r="R96" s="21">
        <v>172.16</v>
      </c>
      <c r="S96" s="21">
        <v>0</v>
      </c>
      <c r="T96" s="22">
        <f t="shared" si="12"/>
        <v>172.16</v>
      </c>
    </row>
    <row r="97" spans="1:20" x14ac:dyDescent="0.25">
      <c r="A97" s="1" t="s">
        <v>25</v>
      </c>
      <c r="B97" s="17"/>
      <c r="C97" s="17"/>
      <c r="F97" s="17" t="e">
        <f t="shared" si="14"/>
        <v>#REF!</v>
      </c>
      <c r="G97" s="17" t="e">
        <f t="shared" si="14"/>
        <v>#REF!</v>
      </c>
      <c r="H97" s="18"/>
      <c r="K97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Amount"",""4.48000"",""Document Date"",""1/1/1900"",""Document Number"","""",""Document Sequence"",""2031616"",""Period ID"",""3"",""Posting Type"",""Profit and Loss"",""Reference"",""Payroll Period-End Reports"",""Row ID"",""5254981"",""Segment 1"",""5021"",""Segm"&amp;"ent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Descr"&amp;"iption"","""",""Segment 6"","""",""Segment 6 Description"","""",""Segment 7"","""",""Segment 7 Description"","""",""Segment 8"","""",""Segment 8 Description"","""",""Segment 9"","""",""Segment 9 Description"","""",""Transaction Amount"",""4.48000"",""Transaction Date"",""12/5/2024"",""Transaction D"&amp;"escription"","""",""Vendor Name"","""",""Vendor Number"","""",""Journal Entry"",""1581148"""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Amount","4.48000","Document Date","1/1/1900","Document Number","","Document Sequence","2031616","Period ID","3","Posting Type","Profit and Loss","Reference","Payroll Period-End Reports","Row ID","5254981","Segment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Amount","4.48000","Transaction Date","12/5/2024","Transaction Description","","Vendor Name","","Vendor Number","","Journal Entry","1581148"</v>
      </c>
      <c r="L97" s="19">
        <v>45631</v>
      </c>
      <c r="M97">
        <v>1581148</v>
      </c>
      <c r="N97" t="str">
        <f>""</f>
        <v/>
      </c>
      <c r="O97" t="str">
        <f>""</f>
        <v/>
      </c>
      <c r="P97" t="str">
        <f>"Payroll Period-End Reports"</f>
        <v>Payroll Period-End Reports</v>
      </c>
      <c r="Q97" s="20" t="str">
        <f>""</f>
        <v/>
      </c>
      <c r="R97" s="21">
        <v>4.4800000000000004</v>
      </c>
      <c r="S97" s="21">
        <v>0</v>
      </c>
      <c r="T97" s="22">
        <f t="shared" si="12"/>
        <v>4.4800000000000004</v>
      </c>
    </row>
    <row r="98" spans="1:20" x14ac:dyDescent="0.25">
      <c r="A98" s="1" t="s">
        <v>25</v>
      </c>
      <c r="B98" s="17"/>
      <c r="C98" s="17"/>
      <c r="F98" s="17" t="e">
        <f t="shared" si="14"/>
        <v>#REF!</v>
      </c>
      <c r="G98" s="17" t="e">
        <f t="shared" si="14"/>
        <v>#REF!</v>
      </c>
      <c r="H98" s="18"/>
      <c r="K98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Amount"",""4.48000"",""Document Date"",""1/1/1900"",""Document Number"","""",""Document Sequence"",""10928128"",""Period ID"",""3"",""Posting Type"",""Profit and Loss"",""Reference"",""Payroll Period-End Reports"",""Row ID"",""5254984"",""Segment 1"",""5021"",""Seg"&amp;"ment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Desc"&amp;"ription"","""",""Segment 6"","""",""Segment 6 Description"","""",""Segment 7"","""",""Segment 7 Description"","""",""Segment 8"","""",""Segment 8 Description"","""",""Segment 9"","""",""Segment 9 Description"","""",""Transaction Amount"",""4.48000"",""Transaction Date"",""12/5/2024"",""Transaction "&amp;"Description"","""",""Vendor Name"","""",""Vendor Number"","""",""Journal Entry"",""1581148"""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Amount","4.48000","Document Date","1/1/1900","Document Number","","Document Sequence","10928128","Period ID","3","Posting Type","Profit and Loss","Reference","Payroll Period-End Reports","Row ID","5254984","Segment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Amount","4.48000","Transaction Date","12/5/2024","Transaction Description","","Vendor Name","","Vendor Number","","Journal Entry","1581148"</v>
      </c>
      <c r="L98" s="19">
        <v>45631</v>
      </c>
      <c r="M98">
        <v>1581148</v>
      </c>
      <c r="N98" t="str">
        <f>""</f>
        <v/>
      </c>
      <c r="O98" t="str">
        <f>""</f>
        <v/>
      </c>
      <c r="P98" t="str">
        <f>"Payroll Period-End Reports"</f>
        <v>Payroll Period-End Reports</v>
      </c>
      <c r="Q98" s="20" t="str">
        <f>""</f>
        <v/>
      </c>
      <c r="R98" s="21">
        <v>4.4800000000000004</v>
      </c>
      <c r="S98" s="21">
        <v>0</v>
      </c>
      <c r="T98" s="22">
        <f t="shared" si="12"/>
        <v>4.4800000000000004</v>
      </c>
    </row>
    <row r="99" spans="1:20" x14ac:dyDescent="0.25">
      <c r="A99" s="1" t="s">
        <v>25</v>
      </c>
      <c r="B99" s="17"/>
      <c r="C99" s="17"/>
      <c r="F99" s="17" t="e">
        <f t="shared" si="14"/>
        <v>#REF!</v>
      </c>
      <c r="G99" s="17" t="e">
        <f t="shared" si="14"/>
        <v>#REF!</v>
      </c>
      <c r="H99" s="18"/>
      <c r="K99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Amount"",""6.49000"",""Document Date"",""1/1/1900"",""Document Number"",""DD000000000000139027"",""Document Sequence"",""114688"",""Period ID"",""3"",""Posting Type"",""Profit and Loss"",""Reference"",""Payroll Computer Checks"",""Row ID"",""5221661"",""Segment"&amp;"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Amount"",""6.49000"",""Transaction Date"",""12/5/2024"&amp;""",""Transaction Description"","""",""Vendor Name"",""LAUB, REBECCA"",""Vendor Number"",""2772"",""Journal Entry"",""1576647"""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Amount","6.49000","Document Date","1/1/1900","Document Number","DD000000000000139027","Document Sequence","114688","Period ID","3","Posting Type","Profit and Loss","Reference","Payroll Computer Checks","Row ID","5221661","Segment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Amount","6.49000","Transaction Date","12/5/2024","Transaction Description","","Vendor Name","LAUB, REBECCA","Vendor Number","2772","Journal Entry","1576647"</v>
      </c>
      <c r="L99" s="19">
        <v>45631</v>
      </c>
      <c r="M99">
        <v>1576647</v>
      </c>
      <c r="N99" t="str">
        <f>"Payroll Check"</f>
        <v>Payroll Check</v>
      </c>
      <c r="O99" t="str">
        <f>"DD000000000000139027"</f>
        <v>DD000000000000139027</v>
      </c>
      <c r="P99" t="str">
        <f>"Payroll Computer Checks"</f>
        <v>Payroll Computer Checks</v>
      </c>
      <c r="Q99" s="20" t="str">
        <f>""</f>
        <v/>
      </c>
      <c r="R99" s="21">
        <v>6.49</v>
      </c>
      <c r="S99" s="21">
        <v>0</v>
      </c>
      <c r="T99" s="22">
        <f t="shared" si="12"/>
        <v>6.49</v>
      </c>
    </row>
    <row r="100" spans="1:20" x14ac:dyDescent="0.25">
      <c r="A100" s="1" t="s">
        <v>25</v>
      </c>
      <c r="B100" s="17"/>
      <c r="C100" s="17"/>
      <c r="F100" s="17" t="e">
        <f t="shared" si="14"/>
        <v>#REF!</v>
      </c>
      <c r="G100" s="17" t="e">
        <f t="shared" si="14"/>
        <v>#REF!</v>
      </c>
      <c r="H100" s="18"/>
      <c r="K100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Amount"",""24.80000"",""Document Date"",""1/1/1900"",""Document Number"","""",""Document Sequence"",""2015232"",""Period ID"",""3"",""Posting Type"",""Profit and Loss"",""Reference"",""Payroll Period-End Reports"",""Row ID"",""5254980"",""Segment 1"",""5021"",""Seg"&amp;"ment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Desc"&amp;"ription"","""",""Segment 6"","""",""Segment 6 Description"","""",""Segment 7"","""",""Segment 7 Description"","""",""Segment 8"","""",""Segment 8 Description"","""",""Segment 9"","""",""Segment 9 Description"","""",""Transaction Amount"",""24.80000"",""Transaction Date"",""12/5/2024"",""Transaction"&amp;" Description"","""",""Vendor Name"","""",""Vendor Number"","""",""Journal Entry"",""1581148"""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Amount","24.80000","Document Date","1/1/1900","Document Number","","Document Sequence","2015232","Period ID","3","Posting Type","Profit and Loss","Reference","Payroll Period-End Reports","Row ID","5254980","Segment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Amount","24.80000","Transaction Date","12/5/2024","Transaction Description","","Vendor Name","","Vendor Number","","Journal Entry","1581148"</v>
      </c>
      <c r="L100" s="19">
        <v>45631</v>
      </c>
      <c r="M100">
        <v>1581148</v>
      </c>
      <c r="N100" t="str">
        <f>""</f>
        <v/>
      </c>
      <c r="O100" t="str">
        <f>""</f>
        <v/>
      </c>
      <c r="P100" t="str">
        <f>"Payroll Period-End Reports"</f>
        <v>Payroll Period-End Reports</v>
      </c>
      <c r="Q100" s="20" t="str">
        <f>""</f>
        <v/>
      </c>
      <c r="R100" s="21">
        <v>24.8</v>
      </c>
      <c r="S100" s="21">
        <v>0</v>
      </c>
      <c r="T100" s="22">
        <f t="shared" si="12"/>
        <v>24.8</v>
      </c>
    </row>
    <row r="101" spans="1:20" x14ac:dyDescent="0.25">
      <c r="A101" s="1" t="s">
        <v>25</v>
      </c>
      <c r="B101" s="17"/>
      <c r="C101" s="17"/>
      <c r="F101" s="17" t="e">
        <f t="shared" si="14"/>
        <v>#REF!</v>
      </c>
      <c r="G101" s="17" t="e">
        <f t="shared" si="14"/>
        <v>#REF!</v>
      </c>
      <c r="H101" s="18"/>
      <c r="K101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Amount"",""26.11000"",""Document Date"",""1/1/1900"",""Document Number"","""",""Document Sequence"",""10911744"",""Period ID"",""3"",""Posting Type"",""Profit and Loss"",""Reference"",""Payroll Period-End Reports"",""Row ID"",""5254983"",""Segment 1"",""5021"",""Se"&amp;"gment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Des"&amp;"cription"","""",""Segment 6"","""",""Segment 6 Description"","""",""Segment 7"","""",""Segment 7 Description"","""",""Segment 8"","""",""Segment 8 Description"","""",""Segment 9"","""",""Segment 9 Description"","""",""Transaction Amount"",""26.11000"",""Transaction Date"",""12/5/2024"",""Transactio"&amp;"n Description"","""",""Vendor Name"","""",""Vendor Number"","""",""Journal Entry"",""1581148"""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Amount","26.11000","Document Date","1/1/1900","Document Number","","Document Sequence","10911744","Period ID","3","Posting Type","Profit and Loss","Reference","Payroll Period-End Reports","Row ID","5254983","Segment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Amount","26.11000","Transaction Date","12/5/2024","Transaction Description","","Vendor Name","","Vendor Number","","Journal Entry","1581148"</v>
      </c>
      <c r="L101" s="19">
        <v>45631</v>
      </c>
      <c r="M101">
        <v>1581148</v>
      </c>
      <c r="N101" t="str">
        <f>""</f>
        <v/>
      </c>
      <c r="O101" t="str">
        <f>""</f>
        <v/>
      </c>
      <c r="P101" t="str">
        <f>"Payroll Period-End Reports"</f>
        <v>Payroll Period-End Reports</v>
      </c>
      <c r="Q101" s="20" t="str">
        <f>""</f>
        <v/>
      </c>
      <c r="R101" s="21">
        <v>26.11</v>
      </c>
      <c r="S101" s="21">
        <v>0</v>
      </c>
      <c r="T101" s="22">
        <f t="shared" si="12"/>
        <v>26.11</v>
      </c>
    </row>
    <row r="102" spans="1:20" x14ac:dyDescent="0.25">
      <c r="A102" s="1" t="s">
        <v>25</v>
      </c>
      <c r="B102" s="17"/>
      <c r="C102" s="17"/>
      <c r="F102" s="17" t="e">
        <f t="shared" si="14"/>
        <v>#REF!</v>
      </c>
      <c r="G102" s="17" t="e">
        <f t="shared" si="14"/>
        <v>#REF!</v>
      </c>
      <c r="H102" s="18"/>
      <c r="K102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Amount"",""27.78000"",""Document Date"",""1/1/1900"",""Document Number"",""DD000000000000139027"",""Document Sequence"",""65536"",""Period ID"",""3"",""Posting Type"",""Profit and Loss"",""Reference"",""Payroll Computer Checks"",""Row ID"",""5221660"",""Segment"&amp;"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Amount"",""27.78000"",""Transaction Date"",""12/5/202"&amp;"4"",""Transaction Description"","""",""Vendor Name"",""LAUB, REBECCA"",""Vendor Number"",""2772"",""Journal Entry"",""1576647"""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Amount","27.78000","Document Date","1/1/1900","Document Number","DD000000000000139027","Document Sequence","65536","Period ID","3","Posting Type","Profit and Loss","Reference","Payroll Computer Checks","Row ID","5221660","Segment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Amount","27.78000","Transaction Date","12/5/2024","Transaction Description","","Vendor Name","LAUB, REBECCA","Vendor Number","2772","Journal Entry","1576647"</v>
      </c>
      <c r="L102" s="19">
        <v>45631</v>
      </c>
      <c r="M102">
        <v>1576647</v>
      </c>
      <c r="N102" t="str">
        <f>"Payroll Check"</f>
        <v>Payroll Check</v>
      </c>
      <c r="O102" t="str">
        <f>"DD000000000000139027"</f>
        <v>DD000000000000139027</v>
      </c>
      <c r="P102" t="str">
        <f>"Payroll Computer Checks"</f>
        <v>Payroll Computer Checks</v>
      </c>
      <c r="Q102" s="20" t="str">
        <f>""</f>
        <v/>
      </c>
      <c r="R102" s="21">
        <v>27.78</v>
      </c>
      <c r="S102" s="21">
        <v>0</v>
      </c>
      <c r="T102" s="22">
        <f t="shared" si="12"/>
        <v>27.78</v>
      </c>
    </row>
    <row r="103" spans="1:20" x14ac:dyDescent="0.25">
      <c r="A103" s="1" t="s">
        <v>25</v>
      </c>
      <c r="B103" s="17"/>
      <c r="C103" s="17"/>
      <c r="F103" s="17" t="e">
        <f t="shared" si="14"/>
        <v>#REF!</v>
      </c>
      <c r="G103" s="17" t="e">
        <f t="shared" si="14"/>
        <v>#REF!</v>
      </c>
      <c r="H103" s="18"/>
      <c r="K103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Amount"",""37.85000"",""Document Date"",""1/1/1900"",""Document Number"",""DD000000000000139028"",""Document Sequence"",""131072"",""Period ID"",""3"",""Posting Type"",""Profit and Loss"",""Reference"",""Payroll Computer Checks"",""Row ID"",""5224229"",""Segmen"&amp;"t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Amount"",""37.85000"",""Transaction Date"",""12/5/20"&amp;"24"",""Transaction Description"","""",""Vendor Name"",""THACKER, STEPHANIE"",""Vendor Number"",""928"",""Journal Entry"",""1576787"""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Amount","37.85000","Document Date","1/1/1900","Document Number","DD000000000000139028","Document Sequence","131072","Period ID","3","Posting Type","Profit and Loss","Reference","Payroll Computer Checks","Row ID","5224229","Segment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Amount","37.85000","Transaction Date","12/5/2024","Transaction Description","","Vendor Name","THACKER, STEPHANIE","Vendor Number","928","Journal Entry","1576787"</v>
      </c>
      <c r="L103" s="19">
        <v>45631</v>
      </c>
      <c r="M103">
        <v>1576787</v>
      </c>
      <c r="N103" t="str">
        <f>"Payroll Check"</f>
        <v>Payroll Check</v>
      </c>
      <c r="O103" t="str">
        <f>"DD000000000000139028"</f>
        <v>DD000000000000139028</v>
      </c>
      <c r="P103" t="str">
        <f>"Payroll Computer Checks"</f>
        <v>Payroll Computer Checks</v>
      </c>
      <c r="Q103" s="20" t="str">
        <f>""</f>
        <v/>
      </c>
      <c r="R103" s="21">
        <v>37.85</v>
      </c>
      <c r="S103" s="21">
        <v>0</v>
      </c>
      <c r="T103" s="22">
        <f t="shared" si="12"/>
        <v>37.85</v>
      </c>
    </row>
    <row r="104" spans="1:20" x14ac:dyDescent="0.25">
      <c r="A104" s="1" t="s">
        <v>25</v>
      </c>
      <c r="B104" s="17"/>
      <c r="C104" s="17"/>
      <c r="F104" s="17" t="e">
        <f t="shared" si="14"/>
        <v>#REF!</v>
      </c>
      <c r="G104" s="17" t="e">
        <f t="shared" si="14"/>
        <v>#REF!</v>
      </c>
      <c r="H104" s="18"/>
      <c r="K104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Amount"",""38.38000"",""Document Date"",""1/1/1900"",""Document Number"","""",""Document Sequence"",""10895360"",""Period ID"",""3"",""Posting Type"",""Profit and Loss"",""Reference"",""Payroll Period-End Reports"",""Row ID"",""5254982"",""Segment 1"",""5021"",""Se"&amp;"gment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Des"&amp;"cription"","""",""Segment 6"","""",""Segment 6 Description"","""",""Segment 7"","""",""Segment 7 Description"","""",""Segment 8"","""",""Segment 8 Description"","""",""Segment 9"","""",""Segment 9 Description"","""",""Transaction Amount"",""38.38000"",""Transaction Date"",""12/5/2024"",""Transactio"&amp;"n Description"","""",""Vendor Name"","""",""Vendor Number"","""",""Journal Entry"",""1581148"""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Amount","38.38000","Document Date","1/1/1900","Document Number","","Document Sequence","10895360","Period ID","3","Posting Type","Profit and Loss","Reference","Payroll Period-End Reports","Row ID","5254982","Segment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Amount","38.38000","Transaction Date","12/5/2024","Transaction Description","","Vendor Name","","Vendor Number","","Journal Entry","1581148"</v>
      </c>
      <c r="L104" s="19">
        <v>45631</v>
      </c>
      <c r="M104">
        <v>1581148</v>
      </c>
      <c r="N104" t="str">
        <f>""</f>
        <v/>
      </c>
      <c r="O104" t="str">
        <f>""</f>
        <v/>
      </c>
      <c r="P104" t="str">
        <f>"Payroll Period-End Reports"</f>
        <v>Payroll Period-End Reports</v>
      </c>
      <c r="Q104" s="20" t="str">
        <f>""</f>
        <v/>
      </c>
      <c r="R104" s="21">
        <v>38.380000000000003</v>
      </c>
      <c r="S104" s="21">
        <v>0</v>
      </c>
      <c r="T104" s="22">
        <f t="shared" si="12"/>
        <v>38.380000000000003</v>
      </c>
    </row>
    <row r="105" spans="1:20" x14ac:dyDescent="0.25">
      <c r="A105" s="1" t="s">
        <v>25</v>
      </c>
      <c r="B105" s="17"/>
      <c r="C105" s="17"/>
      <c r="F105" s="17" t="e">
        <f t="shared" si="14"/>
        <v>#REF!</v>
      </c>
      <c r="G105" s="17" t="e">
        <f t="shared" si="14"/>
        <v>#REF!</v>
      </c>
      <c r="H105" s="18"/>
      <c r="K105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Amount"",""53.53000"",""Document Date"",""1/1/1900"",""Document Number"",""DD000000000000139026"",""Document Sequence"",""131072"",""Period ID"",""3"",""Posting Type"",""Profit and Loss"",""Reference"",""Payroll Computer Checks"",""Row ID"",""5224210"",""Segmen"&amp;"t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Amount"",""53.53000"",""Transaction Date"",""12/5/20"&amp;"24"",""Transaction Description"","""",""Vendor Name"",""ESPLIN, TAMMIE A."",""Vendor Number"",""927"",""Journal Entry"",""1576786"""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Amount","53.53000","Document Date","1/1/1900","Document Number","DD000000000000139026","Document Sequence","131072","Period ID","3","Posting Type","Profit and Loss","Reference","Payroll Computer Checks","Row ID","5224210","Segment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Amount","53.53000","Transaction Date","12/5/2024","Transaction Description","","Vendor Name","ESPLIN, TAMMIE A.","Vendor Number","927","Journal Entry","1576786"</v>
      </c>
      <c r="L105" s="19">
        <v>45631</v>
      </c>
      <c r="M105">
        <v>1576786</v>
      </c>
      <c r="N105" t="str">
        <f>"Payroll Check"</f>
        <v>Payroll Check</v>
      </c>
      <c r="O105" t="str">
        <f>"DD000000000000139026"</f>
        <v>DD000000000000139026</v>
      </c>
      <c r="P105" t="str">
        <f>"Payroll Computer Checks"</f>
        <v>Payroll Computer Checks</v>
      </c>
      <c r="Q105" s="20" t="str">
        <f>""</f>
        <v/>
      </c>
      <c r="R105" s="21">
        <v>53.53</v>
      </c>
      <c r="S105" s="21">
        <v>0</v>
      </c>
      <c r="T105" s="22">
        <f t="shared" si="12"/>
        <v>53.53</v>
      </c>
    </row>
    <row r="106" spans="1:20" x14ac:dyDescent="0.25">
      <c r="A106" s="1" t="s">
        <v>25</v>
      </c>
      <c r="B106" s="17"/>
      <c r="C106" s="17"/>
      <c r="F106" s="17" t="e">
        <f t="shared" si="14"/>
        <v>#REF!</v>
      </c>
      <c r="G106" s="17" t="e">
        <f t="shared" si="14"/>
        <v>#REF!</v>
      </c>
      <c r="H106" s="18"/>
      <c r="K106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Amount"",""161.86000"",""Document Date"",""1/1/1900"",""Document Number"",""DD000000000000139028"",""Document Sequence"",""81920"",""Period ID"",""3"",""Posting Type"",""Profit and Loss"",""Reference"",""Payroll Computer Checks"",""Row ID"",""5224228"",""Segmen"&amp;"t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Amount"",""161.86000"",""Transaction Date"",""12/5/2"&amp;"024"",""Transaction Description"","""",""Vendor Name"",""THACKER, STEPHANIE"",""Vendor Number"",""928"",""Journal Entry"",""1576787"""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Amount","161.86000","Document Date","1/1/1900","Document Number","DD000000000000139028","Document Sequence","81920","Period ID","3","Posting Type","Profit and Loss","Reference","Payroll Computer Checks","Row ID","5224228","Segment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Amount","161.86000","Transaction Date","12/5/2024","Transaction Description","","Vendor Name","THACKER, STEPHANIE","Vendor Number","928","Journal Entry","1576787"</v>
      </c>
      <c r="L106" s="19">
        <v>45631</v>
      </c>
      <c r="M106">
        <v>1576787</v>
      </c>
      <c r="N106" t="str">
        <f>"Payroll Check"</f>
        <v>Payroll Check</v>
      </c>
      <c r="O106" t="str">
        <f>"DD000000000000139028"</f>
        <v>DD000000000000139028</v>
      </c>
      <c r="P106" t="str">
        <f>"Payroll Computer Checks"</f>
        <v>Payroll Computer Checks</v>
      </c>
      <c r="Q106" s="20" t="str">
        <f>""</f>
        <v/>
      </c>
      <c r="R106" s="21">
        <v>161.86000000000001</v>
      </c>
      <c r="S106" s="21">
        <v>0</v>
      </c>
      <c r="T106" s="22">
        <f t="shared" si="12"/>
        <v>161.86000000000001</v>
      </c>
    </row>
    <row r="107" spans="1:20" x14ac:dyDescent="0.25">
      <c r="A107" s="1" t="s">
        <v>25</v>
      </c>
      <c r="B107" s="17"/>
      <c r="C107" s="17"/>
      <c r="F107" s="17" t="e">
        <f t="shared" si="14"/>
        <v>#REF!</v>
      </c>
      <c r="G107" s="17" t="e">
        <f t="shared" si="14"/>
        <v>#REF!</v>
      </c>
      <c r="H107" s="18"/>
      <c r="K107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Amount"",""228.88000"",""Document Date"",""1/1/1900"",""Document Number"",""DD000000000000139026"",""Document Sequence"",""81920"",""Period ID"",""3"",""Posting Type"",""Profit and Loss"",""Reference"",""Payroll Computer Checks"",""Row ID"",""5224209"",""Segmen"&amp;"t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Amount"",""228.88000"",""Transaction Date"",""12/5/2"&amp;"024"",""Transaction Description"","""",""Vendor Name"",""ESPLIN, TAMMIE A."",""Vendor Number"",""927"",""Journal Entry"",""1576786"""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Amount","228.88000","Document Date","1/1/1900","Document Number","DD000000000000139026","Document Sequence","81920","Period ID","3","Posting Type","Profit and Loss","Reference","Payroll Computer Checks","Row ID","5224209","Segment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Amount","228.88000","Transaction Date","12/5/2024","Transaction Description","","Vendor Name","ESPLIN, TAMMIE A.","Vendor Number","927","Journal Entry","1576786"</v>
      </c>
      <c r="L107" s="19">
        <v>45631</v>
      </c>
      <c r="M107">
        <v>1576786</v>
      </c>
      <c r="N107" t="str">
        <f>"Payroll Check"</f>
        <v>Payroll Check</v>
      </c>
      <c r="O107" t="str">
        <f>"DD000000000000139026"</f>
        <v>DD000000000000139026</v>
      </c>
      <c r="P107" t="str">
        <f>"Payroll Computer Checks"</f>
        <v>Payroll Computer Checks</v>
      </c>
      <c r="Q107" s="20" t="str">
        <f>""</f>
        <v/>
      </c>
      <c r="R107" s="21">
        <v>228.88</v>
      </c>
      <c r="S107" s="21">
        <v>0</v>
      </c>
      <c r="T107" s="22">
        <f t="shared" si="12"/>
        <v>228.88</v>
      </c>
    </row>
    <row r="108" spans="1:20" x14ac:dyDescent="0.25">
      <c r="A108" s="1" t="s">
        <v>25</v>
      </c>
      <c r="B108" s="17"/>
      <c r="C108" s="17"/>
      <c r="F108" s="17" t="e">
        <f t="shared" si="14"/>
        <v>#REF!</v>
      </c>
      <c r="G108" s="17" t="e">
        <f t="shared" si="14"/>
        <v>#REF!</v>
      </c>
      <c r="H108" s="18"/>
      <c r="K108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Amount"",""82.28000"",""Document Date"",""1/1/1900"",""Document Number"",""DD000000000000139251"",""Document Sequence"",""131072"",""Period ID"",""3"",""Posting Type"",""Profit and Loss"",""Reference"",""Payroll Computer Checks"",""Row ID"",""5227036"",""Segmen"&amp;"t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Amount"",""82.28000"",""Transaction Date"",""12/9/20"&amp;"24"",""Transaction Description"","""",""Vendor Name"",""ESPLIN, TAMMIE A."",""Vendor Number"",""927"",""Journal Entry"",""1577760"""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Amount","82.28000","Document Date","1/1/1900","Document Number","DD000000000000139251","Document Sequence","131072","Period ID","3","Posting Type","Profit and Loss","Reference","Payroll Computer Checks","Row ID","5227036","Segment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Amount","82.28000","Transaction Date","12/9/2024","Transaction Description","","Vendor Name","ESPLIN, TAMMIE A.","Vendor Number","927","Journal Entry","1577760"</v>
      </c>
      <c r="L108" s="19">
        <v>45635</v>
      </c>
      <c r="M108">
        <v>1577760</v>
      </c>
      <c r="N108" t="str">
        <f>"Payroll Check"</f>
        <v>Payroll Check</v>
      </c>
      <c r="O108" t="str">
        <f>"DD000000000000139251"</f>
        <v>DD000000000000139251</v>
      </c>
      <c r="P108" t="str">
        <f>"Payroll Computer Checks"</f>
        <v>Payroll Computer Checks</v>
      </c>
      <c r="Q108" s="20" t="str">
        <f>""</f>
        <v/>
      </c>
      <c r="R108" s="21">
        <v>82.28</v>
      </c>
      <c r="S108" s="21">
        <v>0</v>
      </c>
      <c r="T108" s="22">
        <f t="shared" si="12"/>
        <v>82.28</v>
      </c>
    </row>
    <row r="109" spans="1:20" x14ac:dyDescent="0.25">
      <c r="A109" s="1" t="s">
        <v>25</v>
      </c>
      <c r="B109" s="17"/>
      <c r="C109" s="17"/>
      <c r="F109" s="17" t="e">
        <f t="shared" si="14"/>
        <v>#REF!</v>
      </c>
      <c r="G109" s="17" t="e">
        <f t="shared" si="14"/>
        <v>#REF!</v>
      </c>
      <c r="H109" s="18"/>
      <c r="K109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Amount"",""351.84000"",""Document Date"",""1/1/1900"",""Document Number"",""DD000000000000139251"",""Document Sequence"",""81920"",""Period ID"",""3"",""Posting Type"",""Profit and Loss"",""Reference"",""Payroll Computer Checks"",""Row ID"",""5227035"",""Segmen"&amp;"t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Amount"",""351.84000"",""Transaction Date"",""12/9/2"&amp;"024"",""Transaction Description"","""",""Vendor Name"",""ESPLIN, TAMMIE A."",""Vendor Number"",""927"",""Journal Entry"",""1577760"""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Amount","351.84000","Document Date","1/1/1900","Document Number","DD000000000000139251","Document Sequence","81920","Period ID","3","Posting Type","Profit and Loss","Reference","Payroll Computer Checks","Row ID","5227035","Segment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Amount","351.84000","Transaction Date","12/9/2024","Transaction Description","","Vendor Name","ESPLIN, TAMMIE A.","Vendor Number","927","Journal Entry","1577760"</v>
      </c>
      <c r="L109" s="19">
        <v>45635</v>
      </c>
      <c r="M109">
        <v>1577760</v>
      </c>
      <c r="N109" t="str">
        <f>"Payroll Check"</f>
        <v>Payroll Check</v>
      </c>
      <c r="O109" t="str">
        <f>"DD000000000000139251"</f>
        <v>DD000000000000139251</v>
      </c>
      <c r="P109" t="str">
        <f>"Payroll Computer Checks"</f>
        <v>Payroll Computer Checks</v>
      </c>
      <c r="Q109" s="20" t="str">
        <f>""</f>
        <v/>
      </c>
      <c r="R109" s="21">
        <v>351.84</v>
      </c>
      <c r="S109" s="21">
        <v>0</v>
      </c>
      <c r="T109" s="22">
        <f t="shared" si="12"/>
        <v>351.84</v>
      </c>
    </row>
    <row r="110" spans="1:20" x14ac:dyDescent="0.25">
      <c r="A110" s="1" t="s">
        <v>25</v>
      </c>
      <c r="B110" s="17"/>
      <c r="C110" s="17"/>
      <c r="F110" s="17" t="e">
        <f t="shared" si="14"/>
        <v>#REF!</v>
      </c>
      <c r="G110" s="17" t="e">
        <f t="shared" si="14"/>
        <v>#REF!</v>
      </c>
      <c r="H110" s="18"/>
      <c r="K110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Amount"",""56.75000"",""Document Date"",""1/1/1900"",""Document Number"","""",""Document Sequence"",""2244608"",""Period ID"",""3"",""Posting Type"",""Profit and Loss"",""Reference"",""Payroll Period-End Reports"",""Row ID"",""5250480"",""Segment 1"",""5021"",""Seg"&amp;"ment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Desc"&amp;"ription"","""",""Segment 6"","""",""Segment 6 Description"","""",""Segment 7"","""",""Segment 7 Description"","""",""Segment 8"","""",""Segment 8 Description"","""",""Segment 9"","""",""Segment 9 Description"","""",""Transaction Amount"",""56.75000"",""Transaction Date"",""12/10/2024"",""Transactio"&amp;"n Description"","""",""Vendor Name"","""",""Vendor Number"","""",""Journal Entry"",""1581177"""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Amount","56.75000","Document Date","1/1/1900","Document Number","","Document Sequence","2244608","Period ID","3","Posting Type","Profit and Loss","Reference","Payroll Period-End Reports","Row ID","5250480","Segment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Amount","56.75000","Transaction Date","12/10/2024","Transaction Description","","Vendor Name","","Vendor Number","","Journal Entry","1581177"</v>
      </c>
      <c r="L110" s="19">
        <v>45636</v>
      </c>
      <c r="M110">
        <v>1581177</v>
      </c>
      <c r="N110" t="str">
        <f>""</f>
        <v/>
      </c>
      <c r="O110" t="str">
        <f>""</f>
        <v/>
      </c>
      <c r="P110" t="str">
        <f>"Payroll Period-End Reports"</f>
        <v>Payroll Period-End Reports</v>
      </c>
      <c r="Q110" s="20" t="str">
        <f>""</f>
        <v/>
      </c>
      <c r="R110" s="21">
        <v>56.75</v>
      </c>
      <c r="S110" s="21">
        <v>0</v>
      </c>
      <c r="T110" s="22">
        <f t="shared" si="12"/>
        <v>56.75</v>
      </c>
    </row>
    <row r="111" spans="1:20" x14ac:dyDescent="0.25">
      <c r="A111" s="1" t="s">
        <v>25</v>
      </c>
      <c r="B111" s="17"/>
      <c r="C111" s="17"/>
      <c r="F111" s="17" t="e">
        <f t="shared" si="14"/>
        <v>#REF!</v>
      </c>
      <c r="G111" s="17" t="e">
        <f t="shared" si="14"/>
        <v>#REF!</v>
      </c>
      <c r="H111" s="18"/>
      <c r="K111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Amount"",""3.51000"",""Document Date"",""1/1/1900"",""Document Number"","""",""Document Sequence"",""1867776"",""Period ID"",""3"",""Posting Type"",""Profit and Loss"",""Reference"",""Payroll Period-End Reports"",""Row ID"",""5256135"",""Segment 1"",""5021"",""Segm"&amp;"ent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Descr"&amp;"iption"","""",""Segment 6"","""",""Segment 6 Description"","""",""Segment 7"","""",""Segment 7 Description"","""",""Segment 8"","""",""Segment 8 Description"","""",""Segment 9"","""",""Segment 9 Description"","""",""Transaction Amount"",""3.51000"",""Transaction Date"",""12/19/2024"",""Transaction "&amp;"Description"","""",""Vendor Name"","""",""Vendor Number"","""",""Journal Entry"",""1581194"""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Amount","3.51000","Document Date","1/1/1900","Document Number","","Document Sequence","1867776","Period ID","3","Posting Type","Profit and Loss","Reference","Payroll Period-End Reports","Row ID","5256135","Segment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Amount","3.51000","Transaction Date","12/19/2024","Transaction Description","","Vendor Name","","Vendor Number","","Journal Entry","1581194"</v>
      </c>
      <c r="L111" s="19">
        <v>45645</v>
      </c>
      <c r="M111">
        <v>1581194</v>
      </c>
      <c r="N111" t="str">
        <f>""</f>
        <v/>
      </c>
      <c r="O111" t="str">
        <f>""</f>
        <v/>
      </c>
      <c r="P111" t="str">
        <f>"Payroll Period-End Reports"</f>
        <v>Payroll Period-End Reports</v>
      </c>
      <c r="Q111" s="20" t="str">
        <f>""</f>
        <v/>
      </c>
      <c r="R111" s="21">
        <v>3.51</v>
      </c>
      <c r="S111" s="21">
        <v>0</v>
      </c>
      <c r="T111" s="22">
        <f t="shared" si="12"/>
        <v>3.51</v>
      </c>
    </row>
    <row r="112" spans="1:20" x14ac:dyDescent="0.25">
      <c r="A112" s="1" t="s">
        <v>25</v>
      </c>
      <c r="B112" s="17"/>
      <c r="C112" s="17"/>
      <c r="F112" s="17" t="e">
        <f t="shared" si="14"/>
        <v>#REF!</v>
      </c>
      <c r="G112" s="17" t="e">
        <f t="shared" si="14"/>
        <v>#REF!</v>
      </c>
      <c r="H112" s="18"/>
      <c r="K112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Amount"",""3.51000"",""Document Date"",""1/1/1900"",""Document Number"","""",""Document Sequence"",""10338304"",""Period ID"",""3"",""Posting Type"",""Profit and Loss"",""Reference"",""Payroll Period-End Reports"",""Row ID"",""5256138"",""Segment 1"",""5021"",""Seg"&amp;"ment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Desc"&amp;"ription"","""",""Segment 6"","""",""Segment 6 Description"","""",""Segment 7"","""",""Segment 7 Description"","""",""Segment 8"","""",""Segment 8 Description"","""",""Segment 9"","""",""Segment 9 Description"","""",""Transaction Amount"",""3.51000"",""Transaction Date"",""12/19/2024"",""Transaction"&amp;" Description"","""",""Vendor Name"","""",""Vendor Number"","""",""Journal Entry"",""1581194"""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Amount","3.51000","Document Date","1/1/1900","Document Number","","Document Sequence","10338304","Period ID","3","Posting Type","Profit and Loss","Reference","Payroll Period-End Reports","Row ID","5256138","Segment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Amount","3.51000","Transaction Date","12/19/2024","Transaction Description","","Vendor Name","","Vendor Number","","Journal Entry","1581194"</v>
      </c>
      <c r="L112" s="19">
        <v>45645</v>
      </c>
      <c r="M112">
        <v>1581194</v>
      </c>
      <c r="N112" t="str">
        <f>""</f>
        <v/>
      </c>
      <c r="O112" t="str">
        <f>""</f>
        <v/>
      </c>
      <c r="P112" t="str">
        <f>"Payroll Period-End Reports"</f>
        <v>Payroll Period-End Reports</v>
      </c>
      <c r="Q112" s="20" t="str">
        <f>""</f>
        <v/>
      </c>
      <c r="R112" s="21">
        <v>3.51</v>
      </c>
      <c r="S112" s="21">
        <v>0</v>
      </c>
      <c r="T112" s="22">
        <f t="shared" si="12"/>
        <v>3.51</v>
      </c>
    </row>
    <row r="113" spans="1:20" x14ac:dyDescent="0.25">
      <c r="A113" s="1" t="s">
        <v>25</v>
      </c>
      <c r="B113" s="17"/>
      <c r="C113" s="17"/>
      <c r="F113" s="17" t="e">
        <f t="shared" ref="F113:G132" si="15">F112</f>
        <v>#REF!</v>
      </c>
      <c r="G113" s="17" t="e">
        <f t="shared" si="15"/>
        <v>#REF!</v>
      </c>
      <c r="H113" s="18"/>
      <c r="K113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Amount"",""5.09000"",""Document Date"",""1/1/1900"",""Document Number"",""DD000000000000139499"",""Document Sequence"",""114688"",""Period ID"",""3"",""Posting Type"",""Profit and Loss"",""Reference"",""Payroll Computer Checks"",""Row ID"",""5238368"",""Segment"&amp;"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Amount"",""5.09000"",""Transaction Date"",""12/19/202"&amp;"4"",""Transaction Description"","""",""Vendor Name"",""LAUB, REBECCA"",""Vendor Number"",""2772"",""Journal Entry"",""1579736"""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Amount","5.09000","Document Date","1/1/1900","Document Number","DD000000000000139499","Document Sequence","114688","Period ID","3","Posting Type","Profit and Loss","Reference","Payroll Computer Checks","Row ID","5238368","Segment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Amount","5.09000","Transaction Date","12/19/2024","Transaction Description","","Vendor Name","LAUB, REBECCA","Vendor Number","2772","Journal Entry","1579736"</v>
      </c>
      <c r="L113" s="19">
        <v>45645</v>
      </c>
      <c r="M113">
        <v>1579736</v>
      </c>
      <c r="N113" t="str">
        <f>"Payroll Check"</f>
        <v>Payroll Check</v>
      </c>
      <c r="O113" t="str">
        <f>"DD000000000000139499"</f>
        <v>DD000000000000139499</v>
      </c>
      <c r="P113" t="str">
        <f>"Payroll Computer Checks"</f>
        <v>Payroll Computer Checks</v>
      </c>
      <c r="Q113" s="20" t="str">
        <f>""</f>
        <v/>
      </c>
      <c r="R113" s="21">
        <v>5.09</v>
      </c>
      <c r="S113" s="21">
        <v>0</v>
      </c>
      <c r="T113" s="22">
        <f t="shared" ref="T113:T132" si="16">SUM(R113:S113)</f>
        <v>5.09</v>
      </c>
    </row>
    <row r="114" spans="1:20" x14ac:dyDescent="0.25">
      <c r="A114" s="1" t="s">
        <v>25</v>
      </c>
      <c r="B114" s="17"/>
      <c r="C114" s="17"/>
      <c r="F114" s="17" t="e">
        <f t="shared" si="15"/>
        <v>#REF!</v>
      </c>
      <c r="G114" s="17" t="e">
        <f t="shared" si="15"/>
        <v>#REF!</v>
      </c>
      <c r="H114" s="18"/>
      <c r="K114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Amount"",""21.74000"",""Document Date"",""1/1/1900"",""Document Number"",""DD000000000000139499"",""Document Sequence"",""65536"",""Period ID"",""3"",""Posting Type"",""Profit and Loss"",""Reference"",""Payroll Computer Checks"",""Row ID"",""5238367"",""Segment"&amp;"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Amount"",""21.74000"",""Transaction Date"",""12/19/20"&amp;"24"",""Transaction Description"","""",""Vendor Name"",""LAUB, REBECCA"",""Vendor Number"",""2772"",""Journal Entry"",""1579736"""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Amount","21.74000","Document Date","1/1/1900","Document Number","DD000000000000139499","Document Sequence","65536","Period ID","3","Posting Type","Profit and Loss","Reference","Payroll Computer Checks","Row ID","5238367","Segment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Amount","21.74000","Transaction Date","12/19/2024","Transaction Description","","Vendor Name","LAUB, REBECCA","Vendor Number","2772","Journal Entry","1579736"</v>
      </c>
      <c r="L114" s="19">
        <v>45645</v>
      </c>
      <c r="M114">
        <v>1579736</v>
      </c>
      <c r="N114" t="str">
        <f>"Payroll Check"</f>
        <v>Payroll Check</v>
      </c>
      <c r="O114" t="str">
        <f>"DD000000000000139499"</f>
        <v>DD000000000000139499</v>
      </c>
      <c r="P114" t="str">
        <f>"Payroll Computer Checks"</f>
        <v>Payroll Computer Checks</v>
      </c>
      <c r="Q114" s="20" t="str">
        <f>""</f>
        <v/>
      </c>
      <c r="R114" s="21">
        <v>21.74</v>
      </c>
      <c r="S114" s="21">
        <v>0</v>
      </c>
      <c r="T114" s="22">
        <f t="shared" si="16"/>
        <v>21.74</v>
      </c>
    </row>
    <row r="115" spans="1:20" x14ac:dyDescent="0.25">
      <c r="A115" s="1" t="s">
        <v>25</v>
      </c>
      <c r="B115" s="17"/>
      <c r="C115" s="17"/>
      <c r="F115" s="17" t="e">
        <f t="shared" si="15"/>
        <v>#REF!</v>
      </c>
      <c r="G115" s="17" t="e">
        <f t="shared" si="15"/>
        <v>#REF!</v>
      </c>
      <c r="H115" s="18"/>
      <c r="K115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Amount"",""26.67000"",""Document Date"",""1/1/1900"",""Document Number"","""",""Document Sequence"",""10305536"",""Period ID"",""3"",""Posting Type"",""Profit and Loss"",""Reference"",""Payroll Period-End Reports"",""Row ID"",""5256136"",""Segment 1"",""5021"",""Se"&amp;"gment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Des"&amp;"cription"","""",""Segment 6"","""",""Segment 6 Description"","""",""Segment 7"","""",""Segment 7 Description"","""",""Segment 8"","""",""Segment 8 Description"","""",""Segment 9"","""",""Segment 9 Description"","""",""Transaction Amount"",""26.67000"",""Transaction Date"",""12/19/2024"",""Transacti"&amp;"on Description"","""",""Vendor Name"","""",""Vendor Number"","""",""Journal Entry"",""1581194"""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Amount","26.67000","Document Date","1/1/1900","Document Number","","Document Sequence","10305536","Period ID","3","Posting Type","Profit and Loss","Reference","Payroll Period-End Reports","Row ID","5256136","Segment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Amount","26.67000","Transaction Date","12/19/2024","Transaction Description","","Vendor Name","","Vendor Number","","Journal Entry","1581194"</v>
      </c>
      <c r="L115" s="19">
        <v>45645</v>
      </c>
      <c r="M115">
        <v>1581194</v>
      </c>
      <c r="N115" t="str">
        <f>""</f>
        <v/>
      </c>
      <c r="O115" t="str">
        <f>""</f>
        <v/>
      </c>
      <c r="P115" t="str">
        <f>"Payroll Period-End Reports"</f>
        <v>Payroll Period-End Reports</v>
      </c>
      <c r="Q115" s="20" t="str">
        <f>""</f>
        <v/>
      </c>
      <c r="R115" s="21">
        <v>26.67</v>
      </c>
      <c r="S115" s="21">
        <v>0</v>
      </c>
      <c r="T115" s="22">
        <f t="shared" si="16"/>
        <v>26.67</v>
      </c>
    </row>
    <row r="116" spans="1:20" x14ac:dyDescent="0.25">
      <c r="A116" s="1" t="s">
        <v>25</v>
      </c>
      <c r="B116" s="17"/>
      <c r="C116" s="17"/>
      <c r="F116" s="17" t="e">
        <f t="shared" si="15"/>
        <v>#REF!</v>
      </c>
      <c r="G116" s="17" t="e">
        <f t="shared" si="15"/>
        <v>#REF!</v>
      </c>
      <c r="H116" s="18"/>
      <c r="K116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Amount"",""36.56000"",""Document Date"",""1/1/1900"",""Document Number"",""DD000000000000139498"",""Document Sequence"",""131072"",""Period ID"",""3"",""Posting Type"",""Profit and Loss"",""Reference"",""Payroll Computer Checks"",""Row ID"",""5240740"",""Segmen"&amp;"t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Amount"",""36.56000"",""Transaction Date"",""12/19/2"&amp;"024"",""Transaction Description"","""",""Vendor Name"",""ESPLIN, TAMMIE A."",""Vendor Number"",""927"",""Journal Entry"",""1579875"""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Amount","36.56000","Document Date","1/1/1900","Document Number","DD000000000000139498","Document Sequence","131072","Period ID","3","Posting Type","Profit and Loss","Reference","Payroll Computer Checks","Row ID","5240740","Segment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Amount","36.56000","Transaction Date","12/19/2024","Transaction Description","","Vendor Name","ESPLIN, TAMMIE A.","Vendor Number","927","Journal Entry","1579875"</v>
      </c>
      <c r="L116" s="19">
        <v>45645</v>
      </c>
      <c r="M116">
        <v>1579875</v>
      </c>
      <c r="N116" t="str">
        <f>"Payroll Check"</f>
        <v>Payroll Check</v>
      </c>
      <c r="O116" t="str">
        <f>"DD000000000000139498"</f>
        <v>DD000000000000139498</v>
      </c>
      <c r="P116" t="str">
        <f>"Payroll Computer Checks"</f>
        <v>Payroll Computer Checks</v>
      </c>
      <c r="Q116" s="20" t="str">
        <f>""</f>
        <v/>
      </c>
      <c r="R116" s="21">
        <v>36.56</v>
      </c>
      <c r="S116" s="21">
        <v>0</v>
      </c>
      <c r="T116" s="22">
        <f t="shared" si="16"/>
        <v>36.56</v>
      </c>
    </row>
    <row r="117" spans="1:20" x14ac:dyDescent="0.25">
      <c r="A117" s="1" t="s">
        <v>25</v>
      </c>
      <c r="B117" s="17"/>
      <c r="C117" s="17"/>
      <c r="F117" s="17" t="e">
        <f t="shared" si="15"/>
        <v>#REF!</v>
      </c>
      <c r="G117" s="17" t="e">
        <f t="shared" si="15"/>
        <v>#REF!</v>
      </c>
      <c r="H117" s="18"/>
      <c r="K117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Amount"",""109.86000"",""Document Date"",""1/1/1900"",""Document Number"","""",""Document Sequence"",""1851392"",""Period ID"",""3"",""Posting Type"",""Profit and Loss"",""Reference"",""Payroll Period-End Reports"",""Row ID"",""5256134"",""Segment 1"",""5021"",""Se"&amp;"gment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Des"&amp;"cription"","""",""Segment 6"","""",""Segment 6 Description"","""",""Segment 7"","""",""Segment 7 Description"","""",""Segment 8"","""",""Segment 8 Description"","""",""Segment 9"","""",""Segment 9 Description"","""",""Transaction Amount"",""109.86000"",""Transaction Date"",""12/19/2024"",""Transact"&amp;"ion Description"","""",""Vendor Name"","""",""Vendor Number"","""",""Journal Entry"",""1581194"""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Amount","109.86000","Document Date","1/1/1900","Document Number","","Document Sequence","1851392","Period ID","3","Posting Type","Profit and Loss","Reference","Payroll Period-End Reports","Row ID","5256134","Segment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Amount","109.86000","Transaction Date","12/19/2024","Transaction Description","","Vendor Name","","Vendor Number","","Journal Entry","1581194"</v>
      </c>
      <c r="L117" s="19">
        <v>45645</v>
      </c>
      <c r="M117">
        <v>1581194</v>
      </c>
      <c r="N117" t="str">
        <f>""</f>
        <v/>
      </c>
      <c r="O117" t="str">
        <f>""</f>
        <v/>
      </c>
      <c r="P117" t="str">
        <f>"Payroll Period-End Reports"</f>
        <v>Payroll Period-End Reports</v>
      </c>
      <c r="Q117" s="20" t="str">
        <f>""</f>
        <v/>
      </c>
      <c r="R117" s="21">
        <v>109.86</v>
      </c>
      <c r="S117" s="21">
        <v>0</v>
      </c>
      <c r="T117" s="22">
        <f t="shared" si="16"/>
        <v>109.86</v>
      </c>
    </row>
    <row r="118" spans="1:20" x14ac:dyDescent="0.25">
      <c r="A118" s="1" t="s">
        <v>25</v>
      </c>
      <c r="B118" s="17"/>
      <c r="C118" s="17"/>
      <c r="F118" s="17" t="e">
        <f t="shared" si="15"/>
        <v>#REF!</v>
      </c>
      <c r="G118" s="17" t="e">
        <f t="shared" si="15"/>
        <v>#REF!</v>
      </c>
      <c r="H118" s="18"/>
      <c r="K118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Amount"",""115.64000"",""Document Date"",""1/1/1900"",""Document Number"","""",""Document Sequence"",""10321920"",""Period ID"",""3"",""Posting Type"",""Profit and Loss"",""Reference"",""Payroll Period-End Reports"",""Row ID"",""5256137"",""Segment 1"",""5021"",""S"&amp;"egment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De"&amp;"scription"","""",""Segment 6"","""",""Segment 6 Description"","""",""Segment 7"","""",""Segment 7 Description"","""",""Segment 8"","""",""Segment 8 Description"","""",""Segment 9"","""",""Segment 9 Description"","""",""Transaction Amount"",""115.64000"",""Transaction Date"",""12/19/2024"",""Transac"&amp;"tion Description"","""",""Vendor Name"","""",""Vendor Number"","""",""Journal Entry"",""1581194"""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Amount","115.64000","Document Date","1/1/1900","Document Number","","Document Sequence","10321920","Period ID","3","Posting Type","Profit and Loss","Reference","Payroll Period-End Reports","Row ID","5256137","Segment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Amount","115.64000","Transaction Date","12/19/2024","Transaction Description","","Vendor Name","","Vendor Number","","Journal Entry","1581194"</v>
      </c>
      <c r="L118" s="19">
        <v>45645</v>
      </c>
      <c r="M118">
        <v>1581194</v>
      </c>
      <c r="N118" t="str">
        <f>""</f>
        <v/>
      </c>
      <c r="O118" t="str">
        <f>""</f>
        <v/>
      </c>
      <c r="P118" t="str">
        <f>"Payroll Period-End Reports"</f>
        <v>Payroll Period-End Reports</v>
      </c>
      <c r="Q118" s="20" t="str">
        <f>""</f>
        <v/>
      </c>
      <c r="R118" s="21">
        <v>115.64</v>
      </c>
      <c r="S118" s="21">
        <v>0</v>
      </c>
      <c r="T118" s="22">
        <f t="shared" si="16"/>
        <v>115.64</v>
      </c>
    </row>
    <row r="119" spans="1:20" x14ac:dyDescent="0.25">
      <c r="A119" s="1" t="s">
        <v>25</v>
      </c>
      <c r="B119" s="17"/>
      <c r="C119" s="17"/>
      <c r="F119" s="17" t="e">
        <f t="shared" si="15"/>
        <v>#REF!</v>
      </c>
      <c r="G119" s="17" t="e">
        <f t="shared" si="15"/>
        <v>#REF!</v>
      </c>
      <c r="H119" s="18"/>
      <c r="K119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Amount"",""156.32000"",""Document Date"",""1/1/1900"",""Document Number"",""DD000000000000139498"",""Document Sequence"",""81920"",""Period ID"",""3"",""Posting Type"",""Profit and Loss"",""Reference"",""Payroll Computer Checks"",""Row ID"",""5240739"",""Segmen"&amp;"t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Amount"",""156.32000"",""Transaction Date"",""12/19/"&amp;"2024"",""Transaction Description"","""",""Vendor Name"",""ESPLIN, TAMMIE A."",""Vendor Number"",""927"",""Journal Entry"",""1579875"""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Amount","156.32000","Document Date","1/1/1900","Document Number","DD000000000000139498","Document Sequence","81920","Period ID","3","Posting Type","Profit and Loss","Reference","Payroll Computer Checks","Row ID","5240739","Segment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Amount","156.32000","Transaction Date","12/19/2024","Transaction Description","","Vendor Name","ESPLIN, TAMMIE A.","Vendor Number","927","Journal Entry","1579875"</v>
      </c>
      <c r="L119" s="19">
        <v>45645</v>
      </c>
      <c r="M119">
        <v>1579875</v>
      </c>
      <c r="N119" t="str">
        <f t="shared" ref="N119:N127" si="17">"Payroll Check"</f>
        <v>Payroll Check</v>
      </c>
      <c r="O119" t="str">
        <f>"DD000000000000139498"</f>
        <v>DD000000000000139498</v>
      </c>
      <c r="P119" t="str">
        <f t="shared" ref="P119:P127" si="18">"Payroll Computer Checks"</f>
        <v>Payroll Computer Checks</v>
      </c>
      <c r="Q119" s="20" t="str">
        <f>""</f>
        <v/>
      </c>
      <c r="R119" s="21">
        <v>156.32</v>
      </c>
      <c r="S119" s="21">
        <v>0</v>
      </c>
      <c r="T119" s="22">
        <f t="shared" si="16"/>
        <v>156.32</v>
      </c>
    </row>
    <row r="120" spans="1:20" x14ac:dyDescent="0.25">
      <c r="A120" s="1" t="s">
        <v>25</v>
      </c>
      <c r="B120" s="17"/>
      <c r="C120" s="17"/>
      <c r="F120" s="17" t="e">
        <f t="shared" si="15"/>
        <v>#REF!</v>
      </c>
      <c r="G120" s="17" t="e">
        <f t="shared" si="15"/>
        <v>#REF!</v>
      </c>
      <c r="H120" s="18"/>
      <c r="K120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Amount"",""167.68000"",""Document Date"",""1/1/1900"",""Document Number"",""DD000000000000139500"",""Document Sequence"",""131072"",""Period ID"",""3"",""Posting Type"",""Profit and Loss"",""Reference"",""Payroll Computer Checks"",""Row ID"",""5240759"",""Segme"&amp;"nt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5"","""&amp;""",""Segment 5 Description"","""",""Segment 6"","""",""Segment 6 Description"","""",""Segment 7"","""",""Segment 7 Description"","""",""Segment 8"","""",""Segment 8 Description"","""",""Segment 9"","""",""Segment 9 Description"","""",""Transaction Amount"",""167.68000"",""Transaction Date"",""12/19"&amp;"/2024"",""Transaction Description"","""",""Vendor Name"",""THACKER, STEPHANIE"",""Vendor Number"",""928"",""Journal Entry"",""1579876"""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Amount","167.68000","Document Date","1/1/1900","Document Number","DD000000000000139500","Document Sequence","131072","Period ID","3","Posting Type","Profit and Loss","Reference","Payroll Computer Checks","Row ID","5240759","Segment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Amount","167.68000","Transaction Date","12/19/2024","Transaction Description","","Vendor Name","THACKER, STEPHANIE","Vendor Number","928","Journal Entry","1579876"</v>
      </c>
      <c r="L120" s="19">
        <v>45645</v>
      </c>
      <c r="M120">
        <v>1579876</v>
      </c>
      <c r="N120" t="str">
        <f t="shared" si="17"/>
        <v>Payroll Check</v>
      </c>
      <c r="O120" t="str">
        <f>"DD000000000000139500"</f>
        <v>DD000000000000139500</v>
      </c>
      <c r="P120" t="str">
        <f t="shared" si="18"/>
        <v>Payroll Computer Checks</v>
      </c>
      <c r="Q120" s="20" t="str">
        <f>""</f>
        <v/>
      </c>
      <c r="R120" s="21">
        <v>167.68</v>
      </c>
      <c r="S120" s="21">
        <v>0</v>
      </c>
      <c r="T120" s="22">
        <f t="shared" si="16"/>
        <v>167.68</v>
      </c>
    </row>
    <row r="121" spans="1:20" x14ac:dyDescent="0.25">
      <c r="A121" s="1" t="s">
        <v>25</v>
      </c>
      <c r="B121" s="17"/>
      <c r="C121" s="17"/>
      <c r="F121" s="17" t="e">
        <f t="shared" si="15"/>
        <v>#REF!</v>
      </c>
      <c r="G121" s="17" t="e">
        <f t="shared" si="15"/>
        <v>#REF!</v>
      </c>
      <c r="H121" s="18"/>
      <c r="K121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Amount"",""716.96000"",""Document Date"",""1/1/1900"",""Document Number"",""DD000000000000139500"",""Document Sequence"",""81920"",""Period ID"",""3"",""Posting Type"",""Profit and Loss"",""Reference"",""Payroll Computer Checks"",""Row ID"",""5240758"",""Segmen"&amp;"t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Amount"",""716.96000"",""Transaction Date"",""12/19/"&amp;"2024"",""Transaction Description"","""",""Vendor Name"",""THACKER, STEPHANIE"",""Vendor Number"",""928"",""Journal Entry"",""1579876"""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Amount","716.96000","Document Date","1/1/1900","Document Number","DD000000000000139500","Document Sequence","81920","Period ID","3","Posting Type","Profit and Loss","Reference","Payroll Computer Checks","Row ID","5240758","Segment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Amount","716.96000","Transaction Date","12/19/2024","Transaction Description","","Vendor Name","THACKER, STEPHANIE","Vendor Number","928","Journal Entry","1579876"</v>
      </c>
      <c r="L121" s="19">
        <v>45645</v>
      </c>
      <c r="M121">
        <v>1579876</v>
      </c>
      <c r="N121" t="str">
        <f t="shared" si="17"/>
        <v>Payroll Check</v>
      </c>
      <c r="O121" t="str">
        <f>"DD000000000000139500"</f>
        <v>DD000000000000139500</v>
      </c>
      <c r="P121" t="str">
        <f t="shared" si="18"/>
        <v>Payroll Computer Checks</v>
      </c>
      <c r="Q121" s="20" t="str">
        <f>""</f>
        <v/>
      </c>
      <c r="R121" s="21">
        <v>716.96</v>
      </c>
      <c r="S121" s="21">
        <v>0</v>
      </c>
      <c r="T121" s="22">
        <f t="shared" si="16"/>
        <v>716.96</v>
      </c>
    </row>
    <row r="122" spans="1:20" x14ac:dyDescent="0.25">
      <c r="A122" s="1" t="s">
        <v>25</v>
      </c>
      <c r="B122" s="17"/>
      <c r="C122" s="17"/>
      <c r="F122" s="17" t="e">
        <f t="shared" si="15"/>
        <v>#REF!</v>
      </c>
      <c r="G122" s="17" t="e">
        <f t="shared" si="15"/>
        <v>#REF!</v>
      </c>
      <c r="H122" s="18"/>
      <c r="K122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Amount"",""10.56000"",""Document Date"",""1/1/1900"",""Document Number"",""DD000000000000139877"",""Document Sequence"",""131072"",""Period ID"",""3"",""Posting Type"",""Profit and Loss"",""Reference"",""Payroll Computer Checks"",""Row ID"",""5247169"",""Segmen"&amp;"t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Amount"",""10.56000"",""Transaction Date"",""12/30/2"&amp;"024"",""Transaction Description"","""",""Vendor Name"",""LAUB, REBECCA"",""Vendor Number"",""2772"",""Journal Entry"",""1580806"""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Amount","10.56000","Document Date","1/1/1900","Document Number","DD000000000000139877","Document Sequence","131072","Period ID","3","Posting Type","Profit and Loss","Reference","Payroll Computer Checks","Row ID","5247169","Segment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Amount","10.56000","Transaction Date","12/30/2024","Transaction Description","","Vendor Name","LAUB, REBECCA","Vendor Number","2772","Journal Entry","1580806"</v>
      </c>
      <c r="L122" s="19">
        <v>45656</v>
      </c>
      <c r="M122">
        <v>1580806</v>
      </c>
      <c r="N122" t="str">
        <f t="shared" si="17"/>
        <v>Payroll Check</v>
      </c>
      <c r="O122" t="str">
        <f>"DD000000000000139877"</f>
        <v>DD000000000000139877</v>
      </c>
      <c r="P122" t="str">
        <f t="shared" si="18"/>
        <v>Payroll Computer Checks</v>
      </c>
      <c r="Q122" s="20" t="str">
        <f>""</f>
        <v/>
      </c>
      <c r="R122" s="21">
        <v>10.56</v>
      </c>
      <c r="S122" s="21">
        <v>0</v>
      </c>
      <c r="T122" s="22">
        <f t="shared" si="16"/>
        <v>10.56</v>
      </c>
    </row>
    <row r="123" spans="1:20" x14ac:dyDescent="0.25">
      <c r="A123" s="1" t="s">
        <v>25</v>
      </c>
      <c r="B123" s="17"/>
      <c r="C123" s="17"/>
      <c r="F123" s="17" t="e">
        <f t="shared" si="15"/>
        <v>#REF!</v>
      </c>
      <c r="G123" s="17" t="e">
        <f t="shared" si="15"/>
        <v>#REF!</v>
      </c>
      <c r="H123" s="18"/>
      <c r="K123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Amount"",""19.16000"",""Document Date"",""1/1/1900"",""Document Number"",""DD000000000000139878"",""Document Sequence"",""131072"",""Period ID"",""3"",""Posting Type"",""Profit and Loss"",""Reference"",""Payroll Computer Checks"",""Row ID"",""5249529"",""Segmen"&amp;"t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Amount"",""19.16000"",""Transaction Date"",""12/30/2"&amp;"024"",""Transaction Description"","""",""Vendor Name"",""THACKER, STEPHANIE"",""Vendor Number"",""928"",""Journal Entry"",""1580940"""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Amount","19.16000","Document Date","1/1/1900","Document Number","DD000000000000139878","Document Sequence","131072","Period ID","3","Posting Type","Profit and Loss","Reference","Payroll Computer Checks","Row ID","5249529","Segment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Amount","19.16000","Transaction Date","12/30/2024","Transaction Description","","Vendor Name","THACKER, STEPHANIE","Vendor Number","928","Journal Entry","1580940"</v>
      </c>
      <c r="L123" s="19">
        <v>45656</v>
      </c>
      <c r="M123">
        <v>1580940</v>
      </c>
      <c r="N123" t="str">
        <f t="shared" si="17"/>
        <v>Payroll Check</v>
      </c>
      <c r="O123" t="str">
        <f>"DD000000000000139878"</f>
        <v>DD000000000000139878</v>
      </c>
      <c r="P123" t="str">
        <f t="shared" si="18"/>
        <v>Payroll Computer Checks</v>
      </c>
      <c r="Q123" s="20" t="str">
        <f>""</f>
        <v/>
      </c>
      <c r="R123" s="21">
        <v>19.16</v>
      </c>
      <c r="S123" s="21">
        <v>0</v>
      </c>
      <c r="T123" s="22">
        <f t="shared" si="16"/>
        <v>19.16</v>
      </c>
    </row>
    <row r="124" spans="1:20" x14ac:dyDescent="0.25">
      <c r="A124" s="1" t="s">
        <v>25</v>
      </c>
      <c r="B124" s="17"/>
      <c r="C124" s="17"/>
      <c r="F124" s="17" t="e">
        <f t="shared" si="15"/>
        <v>#REF!</v>
      </c>
      <c r="G124" s="17" t="e">
        <f t="shared" si="15"/>
        <v>#REF!</v>
      </c>
      <c r="H124" s="18"/>
      <c r="K124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Amount"",""34.09000"",""Document Date"",""1/1/1900"",""Document Number"",""DD000000000000139876"",""Document Sequence"",""131072"",""Period ID"",""3"",""Posting Type"",""Profit and Loss"",""Reference"",""Payroll Computer Checks"",""Row ID"",""5249512"",""Segmen"&amp;"t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Amount"",""34.09000"",""Transaction Date"",""12/30/2"&amp;"024"",""Transaction Description"","""",""Vendor Name"",""ESPLIN, TAMMIE A."",""Vendor Number"",""927"",""Journal Entry"",""1580939"""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Amount","34.09000","Document Date","1/1/1900","Document Number","DD000000000000139876","Document Sequence","131072","Period ID","3","Posting Type","Profit and Loss","Reference","Payroll Computer Checks","Row ID","5249512","Segment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Amount","34.09000","Transaction Date","12/30/2024","Transaction Description","","Vendor Name","ESPLIN, TAMMIE A.","Vendor Number","927","Journal Entry","1580939"</v>
      </c>
      <c r="L124" s="19">
        <v>45656</v>
      </c>
      <c r="M124">
        <v>1580939</v>
      </c>
      <c r="N124" t="str">
        <f t="shared" si="17"/>
        <v>Payroll Check</v>
      </c>
      <c r="O124" t="str">
        <f>"DD000000000000139876"</f>
        <v>DD000000000000139876</v>
      </c>
      <c r="P124" t="str">
        <f t="shared" si="18"/>
        <v>Payroll Computer Checks</v>
      </c>
      <c r="Q124" s="20" t="str">
        <f>""</f>
        <v/>
      </c>
      <c r="R124" s="21">
        <v>34.090000000000003</v>
      </c>
      <c r="S124" s="21">
        <v>0</v>
      </c>
      <c r="T124" s="22">
        <f t="shared" si="16"/>
        <v>34.090000000000003</v>
      </c>
    </row>
    <row r="125" spans="1:20" x14ac:dyDescent="0.25">
      <c r="A125" s="1" t="s">
        <v>25</v>
      </c>
      <c r="B125" s="17"/>
      <c r="C125" s="17"/>
      <c r="F125" s="17" t="e">
        <f t="shared" si="15"/>
        <v>#REF!</v>
      </c>
      <c r="G125" s="17" t="e">
        <f t="shared" si="15"/>
        <v>#REF!</v>
      </c>
      <c r="H125" s="18"/>
      <c r="K125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Amount"",""45.14000"",""Document Date"",""1/1/1900"",""Document Number"",""DD000000000000139877"",""Document Sequence"",""81920"",""Period ID"",""3"",""Posting Type"",""Profit and Loss"",""Reference"",""Payroll Computer Checks"",""Row ID"",""5247168"",""Segment"&amp;"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Amount"",""45.14000"",""Transaction Date"",""12/30/20"&amp;"24"",""Transaction Description"","""",""Vendor Name"",""LAUB, REBECCA"",""Vendor Number"",""2772"",""Journal Entry"",""1580806"""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Amount","45.14000","Document Date","1/1/1900","Document Number","DD000000000000139877","Document Sequence","81920","Period ID","3","Posting Type","Profit and Loss","Reference","Payroll Computer Checks","Row ID","5247168","Segment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Amount","45.14000","Transaction Date","12/30/2024","Transaction Description","","Vendor Name","LAUB, REBECCA","Vendor Number","2772","Journal Entry","1580806"</v>
      </c>
      <c r="L125" s="19">
        <v>45656</v>
      </c>
      <c r="M125">
        <v>1580806</v>
      </c>
      <c r="N125" t="str">
        <f t="shared" si="17"/>
        <v>Payroll Check</v>
      </c>
      <c r="O125" t="str">
        <f>"DD000000000000139877"</f>
        <v>DD000000000000139877</v>
      </c>
      <c r="P125" t="str">
        <f t="shared" si="18"/>
        <v>Payroll Computer Checks</v>
      </c>
      <c r="Q125" s="20" t="str">
        <f>""</f>
        <v/>
      </c>
      <c r="R125" s="21">
        <v>45.14</v>
      </c>
      <c r="S125" s="21">
        <v>0</v>
      </c>
      <c r="T125" s="22">
        <f t="shared" si="16"/>
        <v>45.14</v>
      </c>
    </row>
    <row r="126" spans="1:20" x14ac:dyDescent="0.25">
      <c r="A126" s="1" t="s">
        <v>25</v>
      </c>
      <c r="B126" s="17"/>
      <c r="C126" s="17"/>
      <c r="F126" s="17" t="e">
        <f t="shared" si="15"/>
        <v>#REF!</v>
      </c>
      <c r="G126" s="17" t="e">
        <f t="shared" si="15"/>
        <v>#REF!</v>
      </c>
      <c r="H126" s="18"/>
      <c r="K126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Amount"",""81.94000"",""Document Date"",""1/1/1900"",""Document Number"",""DD000000000000139878"",""Document Sequence"",""81920"",""Period ID"",""3"",""Posting Type"",""Profit and Loss"",""Reference"",""Payroll Computer Checks"",""Row ID"",""5249528"",""Segment"&amp;"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5"","""","&amp;"""Segment 5 Description"","""",""Segment 6"","""",""Segment 6 Description"","""",""Segment 7"","""",""Segment 7 Description"","""",""Segment 8"","""",""Segment 8 Description"","""",""Segment 9"","""",""Segment 9 Description"","""",""Transaction Amount"",""81.94000"",""Transaction Date"",""12/30/20"&amp;"24"",""Transaction Description"","""",""Vendor Name"",""THACKER, STEPHANIE"",""Vendor Number"",""928"",""Journal Entry"",""1580940"""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Amount","81.94000","Document Date","1/1/1900","Document Number","DD000000000000139878","Document Sequence","81920","Period ID","3","Posting Type","Profit and Loss","Reference","Payroll Computer Checks","Row ID","5249528","Segment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Amount","81.94000","Transaction Date","12/30/2024","Transaction Description","","Vendor Name","THACKER, STEPHANIE","Vendor Number","928","Journal Entry","1580940"</v>
      </c>
      <c r="L126" s="19">
        <v>45656</v>
      </c>
      <c r="M126">
        <v>1580940</v>
      </c>
      <c r="N126" t="str">
        <f t="shared" si="17"/>
        <v>Payroll Check</v>
      </c>
      <c r="O126" t="str">
        <f>"DD000000000000139878"</f>
        <v>DD000000000000139878</v>
      </c>
      <c r="P126" t="str">
        <f t="shared" si="18"/>
        <v>Payroll Computer Checks</v>
      </c>
      <c r="Q126" s="20" t="str">
        <f>""</f>
        <v/>
      </c>
      <c r="R126" s="21">
        <v>81.94</v>
      </c>
      <c r="S126" s="21">
        <v>0</v>
      </c>
      <c r="T126" s="22">
        <f t="shared" si="16"/>
        <v>81.94</v>
      </c>
    </row>
    <row r="127" spans="1:20" x14ac:dyDescent="0.25">
      <c r="A127" s="1" t="s">
        <v>25</v>
      </c>
      <c r="B127" s="17"/>
      <c r="C127" s="17"/>
      <c r="F127" s="17" t="e">
        <f t="shared" si="15"/>
        <v>#REF!</v>
      </c>
      <c r="G127" s="17" t="e">
        <f t="shared" si="15"/>
        <v>#REF!</v>
      </c>
      <c r="H127" s="18"/>
      <c r="K127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Amount"",""145.77000"",""Document Date"",""1/1/1900"",""Document Number"",""DD000000000000139876"",""Document Sequence"",""81920"",""Period ID"",""3"",""Posting Type"",""Profit and Loss"",""Reference"",""Payroll Computer Checks"",""Row ID"",""5249511"",""Segmen"&amp;"t 1"",""5021"",""Segment 1 Description"",""Uinta River High School"",""Segment 10"","""",""Segment 10 Description"","""",""Segment 2"",""0"",""Segment 2 Description"","""",""Segment 3"",""6110"",""Segment 3 Description"","""",""Segment 4"",""0000"",""Segment 4 Description"","""",""Segment 5"","""""&amp;",""Segment 5 Description"","""",""Segment 6"","""",""Segment 6 Description"","""",""Segment 7"","""",""Segment 7 Description"","""",""Segment 8"","""",""Segment 8 Description"","""",""Segment 9"","""",""Segment 9 Description"","""",""Transaction Amount"",""145.77000"",""Transaction Date"",""12/30/"&amp;"2024"",""Transaction Description"","""",""Vendor Name"",""ESPLIN, TAMMIE A."",""Vendor Number"",""927"",""Journal Entry"",""1580939"""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Amount","145.77000","Document Date","1/1/1900","Document Number","DD000000000000139876","Document Sequence","81920","Period ID","3","Posting Type","Profit and Loss","Reference","Payroll Computer Checks","Row ID","5249511","Segment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Amount","145.77000","Transaction Date","12/30/2024","Transaction Description","","Vendor Name","ESPLIN, TAMMIE A.","Vendor Number","927","Journal Entry","1580939"</v>
      </c>
      <c r="L127" s="19">
        <v>45656</v>
      </c>
      <c r="M127">
        <v>1580939</v>
      </c>
      <c r="N127" t="str">
        <f t="shared" si="17"/>
        <v>Payroll Check</v>
      </c>
      <c r="O127" t="str">
        <f>"DD000000000000139876"</f>
        <v>DD000000000000139876</v>
      </c>
      <c r="P127" t="str">
        <f t="shared" si="18"/>
        <v>Payroll Computer Checks</v>
      </c>
      <c r="Q127" s="20" t="str">
        <f>""</f>
        <v/>
      </c>
      <c r="R127" s="21">
        <v>145.77000000000001</v>
      </c>
      <c r="S127" s="21">
        <v>0</v>
      </c>
      <c r="T127" s="22">
        <f t="shared" si="16"/>
        <v>145.77000000000001</v>
      </c>
    </row>
    <row r="128" spans="1:20" x14ac:dyDescent="0.25">
      <c r="A128" s="1" t="s">
        <v>25</v>
      </c>
      <c r="B128" s="17"/>
      <c r="C128" s="17"/>
      <c r="F128" s="17" t="e">
        <f t="shared" si="15"/>
        <v>#REF!</v>
      </c>
      <c r="G128" s="17" t="e">
        <f t="shared" si="15"/>
        <v>#REF!</v>
      </c>
      <c r="H128" s="18"/>
      <c r="K128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Amount"",""7.28000"",""Document Date"",""1/1/1900"",""Document Number"","""",""Document Sequence"",""1654784"",""Period ID"",""3"",""Posting Type"",""Profit and Loss"",""Reference"",""Payroll Period-End Reports"",""Row ID"",""5251725"",""Segment 1"",""5021"",""Segm"&amp;"ent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Descr"&amp;"iption"","""",""Segment 6"","""",""Segment 6 Description"","""",""Segment 7"","""",""Segment 7 Description"","""",""Segment 8"","""",""Segment 8 Description"","""",""Segment 9"","""",""Segment 9 Description"","""",""Transaction Amount"",""7.28000"",""Transaction Date"",""12/31/2024"",""Transaction "&amp;"Description"","""",""Vendor Name"","""",""Vendor Number"","""",""Journal Entry"",""1581195"""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Amount","7.28000","Document Date","1/1/1900","Document Number","","Document Sequence","1654784","Period ID","3","Posting Type","Profit and Loss","Reference","Payroll Period-End Reports","Row ID","5251725","Segment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Amount","7.28000","Transaction Date","12/31/2024","Transaction Description","","Vendor Name","","Vendor Number","","Journal Entry","1581195"</v>
      </c>
      <c r="L128" s="19">
        <v>45657</v>
      </c>
      <c r="M128">
        <v>1581195</v>
      </c>
      <c r="N128" t="str">
        <f>""</f>
        <v/>
      </c>
      <c r="O128" t="str">
        <f>""</f>
        <v/>
      </c>
      <c r="P128" t="str">
        <f>"Payroll Period-End Reports"</f>
        <v>Payroll Period-End Reports</v>
      </c>
      <c r="Q128" s="20" t="str">
        <f>""</f>
        <v/>
      </c>
      <c r="R128" s="21">
        <v>7.28</v>
      </c>
      <c r="S128" s="21">
        <v>0</v>
      </c>
      <c r="T128" s="22">
        <f t="shared" si="16"/>
        <v>7.28</v>
      </c>
    </row>
    <row r="129" spans="1:20" x14ac:dyDescent="0.25">
      <c r="A129" s="1" t="s">
        <v>25</v>
      </c>
      <c r="B129" s="17"/>
      <c r="C129" s="17"/>
      <c r="F129" s="17" t="e">
        <f t="shared" si="15"/>
        <v>#REF!</v>
      </c>
      <c r="G129" s="17" t="e">
        <f t="shared" si="15"/>
        <v>#REF!</v>
      </c>
      <c r="H129" s="18"/>
      <c r="K129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Amount"",""7.28000"",""Document Date"",""1/1/1900"",""Document Number"","""",""Document Sequence"",""9519104"",""Period ID"",""3"",""Posting Type"",""Profit and Loss"",""Reference"",""Payroll Period-End Reports"",""Row ID"",""5251728"",""Segment 1"",""5021"",""Segm"&amp;"ent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Descr"&amp;"iption"","""",""Segment 6"","""",""Segment 6 Description"","""",""Segment 7"","""",""Segment 7 Description"","""",""Segment 8"","""",""Segment 8 Description"","""",""Segment 9"","""",""Segment 9 Description"","""",""Transaction Amount"",""7.28000"",""Transaction Date"",""12/31/2024"",""Transaction "&amp;"Description"","""",""Vendor Name"","""",""Vendor Number"","""",""Journal Entry"",""1581195"""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Amount","7.28000","Document Date","1/1/1900","Document Number","","Document Sequence","9519104","Period ID","3","Posting Type","Profit and Loss","Reference","Payroll Period-End Reports","Row ID","5251728","Segment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Amount","7.28000","Transaction Date","12/31/2024","Transaction Description","","Vendor Name","","Vendor Number","","Journal Entry","1581195"</v>
      </c>
      <c r="L129" s="19">
        <v>45657</v>
      </c>
      <c r="M129">
        <v>1581195</v>
      </c>
      <c r="N129" t="str">
        <f>""</f>
        <v/>
      </c>
      <c r="O129" t="str">
        <f>""</f>
        <v/>
      </c>
      <c r="P129" t="str">
        <f>"Payroll Period-End Reports"</f>
        <v>Payroll Period-End Reports</v>
      </c>
      <c r="Q129" s="20" t="str">
        <f>""</f>
        <v/>
      </c>
      <c r="R129" s="21">
        <v>7.28</v>
      </c>
      <c r="S129" s="21">
        <v>0</v>
      </c>
      <c r="T129" s="22">
        <f t="shared" si="16"/>
        <v>7.28</v>
      </c>
    </row>
    <row r="130" spans="1:20" x14ac:dyDescent="0.25">
      <c r="A130" s="1" t="s">
        <v>25</v>
      </c>
      <c r="B130" s="17"/>
      <c r="C130" s="17"/>
      <c r="F130" s="17" t="e">
        <f t="shared" si="15"/>
        <v>#REF!</v>
      </c>
      <c r="G130" s="17" t="e">
        <f t="shared" si="15"/>
        <v>#REF!</v>
      </c>
      <c r="H130" s="18"/>
      <c r="K130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Amount"",""12.56000"",""Document Date"",""1/1/1900"",""Document Number"","""",""Document Sequence"",""1638400"",""Period ID"",""3"",""Posting Type"",""Profit and Loss"",""Reference"",""Payroll Period-End Reports"",""Row ID"",""5251724"",""Segment 1"",""5021"",""Seg"&amp;"ment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Desc"&amp;"ription"","""",""Segment 6"","""",""Segment 6 Description"","""",""Segment 7"","""",""Segment 7 Description"","""",""Segment 8"","""",""Segment 8 Description"","""",""Segment 9"","""",""Segment 9 Description"","""",""Transaction Amount"",""12.56000"",""Transaction Date"",""12/31/2024"",""Transactio"&amp;"n Description"","""",""Vendor Name"","""",""Vendor Number"","""",""Journal Entry"",""1581195"""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Amount","12.56000","Document Date","1/1/1900","Document Number","","Document Sequence","1638400","Period ID","3","Posting Type","Profit and Loss","Reference","Payroll Period-End Reports","Row ID","5251724","Segment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Amount","12.56000","Transaction Date","12/31/2024","Transaction Description","","Vendor Name","","Vendor Number","","Journal Entry","1581195"</v>
      </c>
      <c r="L130" s="19">
        <v>45657</v>
      </c>
      <c r="M130">
        <v>1581195</v>
      </c>
      <c r="N130" t="str">
        <f>""</f>
        <v/>
      </c>
      <c r="O130" t="str">
        <f>""</f>
        <v/>
      </c>
      <c r="P130" t="str">
        <f>"Payroll Period-End Reports"</f>
        <v>Payroll Period-End Reports</v>
      </c>
      <c r="Q130" s="20" t="str">
        <f>""</f>
        <v/>
      </c>
      <c r="R130" s="21">
        <v>12.56</v>
      </c>
      <c r="S130" s="21">
        <v>0</v>
      </c>
      <c r="T130" s="22">
        <f t="shared" si="16"/>
        <v>12.56</v>
      </c>
    </row>
    <row r="131" spans="1:20" x14ac:dyDescent="0.25">
      <c r="A131" s="1" t="s">
        <v>25</v>
      </c>
      <c r="B131" s="17"/>
      <c r="C131" s="17"/>
      <c r="F131" s="17" t="e">
        <f t="shared" si="15"/>
        <v>#REF!</v>
      </c>
      <c r="G131" s="17" t="e">
        <f t="shared" si="15"/>
        <v>#REF!</v>
      </c>
      <c r="H131" s="18"/>
      <c r="K131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Amount"",""13.22000"",""Document Date"",""1/1/1900"",""Document Number"","""",""Document Sequence"",""9502720"",""Period ID"",""3"",""Posting Type"",""Profit and Loss"",""Reference"",""Payroll Period-End Reports"",""Row ID"",""5251727"",""Segment 1"",""5021"",""Seg"&amp;"ment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Desc"&amp;"ription"","""",""Segment 6"","""",""Segment 6 Description"","""",""Segment 7"","""",""Segment 7 Description"","""",""Segment 8"","""",""Segment 8 Description"","""",""Segment 9"","""",""Segment 9 Description"","""",""Transaction Amount"",""13.22000"",""Transaction Date"",""12/31/2024"",""Transactio"&amp;"n Description"","""",""Vendor Name"","""",""Vendor Number"","""",""Journal Entry"",""1581195"""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Amount","13.22000","Document Date","1/1/1900","Document Number","","Document Sequence","9502720","Period ID","3","Posting Type","Profit and Loss","Reference","Payroll Period-End Reports","Row ID","5251727","Segment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Amount","13.22000","Transaction Date","12/31/2024","Transaction Description","","Vendor Name","","Vendor Number","","Journal Entry","1581195"</v>
      </c>
      <c r="L131" s="19">
        <v>45657</v>
      </c>
      <c r="M131">
        <v>1581195</v>
      </c>
      <c r="N131" t="str">
        <f>""</f>
        <v/>
      </c>
      <c r="O131" t="str">
        <f>""</f>
        <v/>
      </c>
      <c r="P131" t="str">
        <f>"Payroll Period-End Reports"</f>
        <v>Payroll Period-End Reports</v>
      </c>
      <c r="Q131" s="20" t="str">
        <f>""</f>
        <v/>
      </c>
      <c r="R131" s="21">
        <v>13.22</v>
      </c>
      <c r="S131" s="21">
        <v>0</v>
      </c>
      <c r="T131" s="22">
        <f t="shared" si="16"/>
        <v>13.22</v>
      </c>
    </row>
    <row r="132" spans="1:20" x14ac:dyDescent="0.25">
      <c r="A132" s="1" t="s">
        <v>25</v>
      </c>
      <c r="B132" s="17"/>
      <c r="C132" s="17"/>
      <c r="F132" s="17" t="e">
        <f t="shared" si="15"/>
        <v>#REF!</v>
      </c>
      <c r="G132" s="17" t="e">
        <f t="shared" si="15"/>
        <v>#REF!</v>
      </c>
      <c r="H132" s="18"/>
      <c r="K132" t="str">
        <f>"""GP"",""Ute Indian Tribe Membership Fund"",""Jet GL Transactions"",""Account Category Description"",""Other Expenses"",""Account Category Number"",""42"",""Account Description"",""Fringe Benefits - Taxes"",""Account Index"",""2551"",""Account Number"",""5021-0-6110-0000"",""Credit"&amp;" Amount"",""0.00000"",""Debit Amount"",""24.97000"",""Document Date"",""1/1/1900"",""Document Number"","""",""Document Sequence"",""9486336"",""Period ID"",""3"",""Posting Type"",""Profit and Loss"",""Reference"",""Payroll Period-End Reports"",""Row ID"",""5251726"",""Segment 1"",""5021"",""Seg"&amp;"ment 1 Description"",""Uinta River High School"",""Segment 10"","""",""Segment 10 Description"","""",""Segment 2"",""0"",""Segment 2 Description"","""",""Segment 3"",""6110"",""Segment 3 Description"","""",""Segment 4"",""0000"",""Segment 4 Description"","""",""Segment 5"","""",""Segment 5 Desc"&amp;"ription"","""",""Segment 6"","""",""Segment 6 Description"","""",""Segment 7"","""",""Segment 7 Description"","""",""Segment 8"","""",""Segment 8 Description"","""",""Segment 9"","""",""Segment 9 Description"","""",""Transaction Amount"",""24.97000"",""Transaction Date"",""12/31/2024"",""Transactio"&amp;"n Description"","""",""Vendor Name"","""",""Vendor Number"","""",""Journal Entry"",""1581195"""</f>
        <v>"GP","Ute Indian Tribe Membership Fund","Jet GL Transactions","Account Category Description","Other Expenses","Account Category Number","42","Account Description","Fringe Benefits - Taxes","Account Index","2551","Account Number","5021-0-6110-0000","Credit Amount","0.00000","Debit Amount","24.97000","Document Date","1/1/1900","Document Number","","Document Sequence","9486336","Period ID","3","Posting Type","Profit and Loss","Reference","Payroll Period-End Reports","Row ID","5251726","Segment 1","5021","Segment 1 Description","Uinta River High School","Segment 10","","Segment 10 Description","","Segment 2","0","Segment 2 Description","","Segment 3","6110","Segment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Amount","24.97000","Transaction Date","12/31/2024","Transaction Description","","Vendor Name","","Vendor Number","","Journal Entry","1581195"</v>
      </c>
      <c r="L132" s="19">
        <v>45657</v>
      </c>
      <c r="M132">
        <v>1581195</v>
      </c>
      <c r="N132" t="str">
        <f>""</f>
        <v/>
      </c>
      <c r="O132" t="str">
        <f>""</f>
        <v/>
      </c>
      <c r="P132" t="str">
        <f>"Payroll Period-End Reports"</f>
        <v>Payroll Period-End Reports</v>
      </c>
      <c r="Q132" s="20" t="str">
        <f>""</f>
        <v/>
      </c>
      <c r="R132" s="21">
        <v>24.97</v>
      </c>
      <c r="S132" s="21">
        <v>0</v>
      </c>
      <c r="T132" s="22">
        <f t="shared" si="16"/>
        <v>24.97</v>
      </c>
    </row>
    <row r="133" spans="1:20" x14ac:dyDescent="0.25">
      <c r="A133" s="1" t="s">
        <v>25</v>
      </c>
      <c r="B133" s="17"/>
      <c r="C133" s="17"/>
      <c r="F133" s="17" t="e">
        <f>#REF!</f>
        <v>#REF!</v>
      </c>
      <c r="G133" s="17" t="e">
        <f>#REF!</f>
        <v>#REF!</v>
      </c>
      <c r="H133" s="18"/>
    </row>
    <row r="134" spans="1:20" x14ac:dyDescent="0.25">
      <c r="A134" s="1" t="s">
        <v>25</v>
      </c>
      <c r="I134" s="50" t="str">
        <f>I73&amp;"   "&amp;J73&amp;"         Total:"</f>
        <v>5021-0-6110-0000   Fringe Benefits - Taxes         Total:</v>
      </c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23">
        <f>SUBTOTAL(9,T74:T133)</f>
        <v>3707.5</v>
      </c>
    </row>
    <row r="135" spans="1:20" x14ac:dyDescent="0.25">
      <c r="A135" s="1" t="s">
        <v>25</v>
      </c>
    </row>
    <row r="136" spans="1:20" x14ac:dyDescent="0.25">
      <c r="A136" s="1" t="s">
        <v>25</v>
      </c>
    </row>
    <row r="137" spans="1:20" x14ac:dyDescent="0.25">
      <c r="A137" s="1" t="s">
        <v>25</v>
      </c>
      <c r="D137" s="1" t="str">
        <f>"||""Filter"",""Jet GL Transactions"",""Account Number"",""Transaction Date"",""10/1/2024..9/30/2025"",""Account Number"",""||""""Filter"""",""""Jet GL Transactions"""",""""Account Number"""",""""Segment 1"""",""""5021"""",""""Segment 2"""",""""*"""",""""Segment 4"""",""""0000|9050"""""""</f>
        <v>||"Filter","Jet GL Transactions","Account Number","Transaction Date","10/1/2024..9/30/2025","Account Number","||""Filter"",""Jet GL Transactions"",""Account Number"",""Segment 1"",""5021"",""Segment 2"",""*"",""Segment 4"",""0000|9050"""</v>
      </c>
      <c r="F137" s="1" t="str">
        <f>"5021-0-6115-0000"</f>
        <v>5021-0-6115-0000</v>
      </c>
      <c r="G137" s="1" t="str">
        <f>"5021-0-6115-0000"</f>
        <v>5021-0-6115-0000</v>
      </c>
      <c r="I137" s="15" t="str">
        <f>G137</f>
        <v>5021-0-6115-0000</v>
      </c>
      <c r="J137" s="15" t="str">
        <f>"Fringe Benefits - Health and Life Insurance"</f>
        <v>Fringe Benefits - Health and Life Insurance</v>
      </c>
      <c r="Q137" s="15"/>
      <c r="R137" s="16"/>
    </row>
    <row r="138" spans="1:20" x14ac:dyDescent="0.25">
      <c r="A138" s="1" t="s">
        <v>25</v>
      </c>
      <c r="B138" s="17"/>
      <c r="C138" s="17"/>
      <c r="F138" s="17" t="e">
        <f>#REF!</f>
        <v>#REF!</v>
      </c>
      <c r="G138" s="17" t="e">
        <f>#REF!</f>
        <v>#REF!</v>
      </c>
      <c r="H138" s="18"/>
      <c r="K138" t="str">
        <f>"""GP"",""Ute Indian Tribe Membership Fund"",""Jet GL Transactions"",""Account Category Description"",""Other Expenses"",""Account Category Number"",""42"",""Account Description"",""Fringe Benefits - Health and Life Insurance"",""Account Index"",""2720"",""Account Number"",""5021-"&amp;"0-6115-0000"",""Credit Amount"",""0.00000"",""Debit Amount"",""1159.25000"",""Document Date"",""1/1/1900"",""Document Number"",""DD000000000000138264"",""Document Sequence"",""245760"",""Period ID"",""2"",""Posting Type"",""Profit and Loss"",""Reference"",""Payroll Computer Checks"",""Row"&amp;" ID"",""5194355"",""Segment 1"",""5021"",""Segment 1 Description"",""Uinta River High School"",""Segment 10"","""",""Segment 10 Description"","""",""Segment 2"",""0"",""Segment 2 Description"","""",""Segment 3"",""6115"",""Segment 3 Description"","""",""Segment 4"",""0000"",""Segment 4 Descript"&amp;"ion"","""",""Segment 5"","""",""Segment 5 Description"","""",""Segment 6"","""",""Segment 6 Description"","""",""Segment 7"","""",""Segment 7 Description"","""",""Segment 8"","""",""Segment 8 Description"","""",""Segment 9"","""",""Segment 9 Description"","""",""Transaction Amount"",""1159.25000"",""Tr"&amp;"ansaction Date"",""11/7/2024"",""Transaction Description"","""",""Vendor Name"",""ESPLIN, TAMMIE A."",""Vendor Number"",""927"",""Journal Entry"",""1571262"""</f>
        <v>"GP","Ute Indian Tribe Membership Fund","Jet GL Transactions","Account Category Description","Other Expenses","Account Category Number","42","Account Description","Fringe Benefits - Health and Life Insurance","Account Index","2720","Account Number","5021-0-6115-0000","Credit Amount","0.00000","Debit Amount","1159.25000","Document Date","1/1/1900","Document Number","DD000000000000138264","Document Sequence","245760","Period ID","2","Posting Type","Profit and Loss","Reference","Payroll Computer Checks","Row ID","5194355","Segment 1","5021","Segment 1 Description","Uinta River High School","Segment 10","","Segment 10 Description","","Segment 2","0","Segment 2 Description","","Segment 3","6115","Segment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Amount","1159.25000","Transaction Date","11/7/2024","Transaction Description","","Vendor Name","ESPLIN, TAMMIE A.","Vendor Number","927","Journal Entry","1571262"</v>
      </c>
      <c r="L138" s="19">
        <v>45603</v>
      </c>
      <c r="M138">
        <v>1571262</v>
      </c>
      <c r="N138" t="str">
        <f t="shared" ref="N138:N142" si="19">"Payroll Check"</f>
        <v>Payroll Check</v>
      </c>
      <c r="O138" t="str">
        <f>"DD000000000000138264"</f>
        <v>DD000000000000138264</v>
      </c>
      <c r="P138" t="str">
        <f t="shared" ref="P138:P142" si="20">"Payroll Computer Checks"</f>
        <v>Payroll Computer Checks</v>
      </c>
      <c r="Q138" s="20" t="str">
        <f>""</f>
        <v/>
      </c>
      <c r="R138" s="21">
        <v>1159.25</v>
      </c>
      <c r="S138" s="21">
        <v>0</v>
      </c>
      <c r="T138" s="22">
        <f t="shared" ref="T138:T142" si="21">SUM(R138:S138)</f>
        <v>1159.25</v>
      </c>
    </row>
    <row r="139" spans="1:20" x14ac:dyDescent="0.25">
      <c r="A139" s="1" t="s">
        <v>25</v>
      </c>
      <c r="B139" s="17"/>
      <c r="C139" s="17"/>
      <c r="F139" s="17" t="e">
        <f t="shared" ref="F139:G142" si="22">F138</f>
        <v>#REF!</v>
      </c>
      <c r="G139" s="17" t="e">
        <f t="shared" si="22"/>
        <v>#REF!</v>
      </c>
      <c r="H139" s="18"/>
      <c r="K139" t="str">
        <f>"""GP"",""Ute Indian Tribe Membership Fund"",""Jet GL Transactions"",""Account Category Description"",""Other Expenses"",""Account Category Number"",""42"",""Account Description"",""Fringe Benefits - Health and Life Insurance"",""Account Index"",""2720"",""Account Number"",""5021-"&amp;"0-6115-0000"",""Credit Amount"",""0.00000"",""Debit Amount"",""1159.25000"",""Document Date"",""1/1/1900"",""Document Number"",""DD000000000000138651"",""Document Sequence"",""245760"",""Period ID"",""2"",""Posting Type"",""Profit and Loss"",""Reference"",""Payroll Computer Checks"",""Row"&amp;" ID"",""5212023"",""Segment 1"",""5021"",""Segment 1 Description"",""Uinta River High School"",""Segment 10"","""",""Segment 10 Description"","""",""Segment 2"",""0"",""Segment 2 Description"","""",""Segment 3"",""6115"",""Segment 3 Description"","""",""Segment 4"",""0000"",""Segment 4 Descript"&amp;"ion"","""",""Segment 5"","""",""Segment 5 Description"","""",""Segment 6"","""",""Segment 6 Description"","""",""Segment 7"","""",""Segment 7 Description"","""",""Segment 8"","""",""Segment 8 Description"","""",""Segment 9"","""",""Segment 9 Description"","""",""Transaction Amount"",""1159.25000"",""Tr"&amp;"ansaction Date"",""11/21/2024"",""Transaction Description"","""",""Vendor Name"",""ESPLIN, TAMMIE A."",""Vendor Number"",""927"",""Journal Entry"",""1574841"""</f>
        <v>"GP","Ute Indian Tribe Membership Fund","Jet GL Transactions","Account Category Description","Other Expenses","Account Category Number","42","Account Description","Fringe Benefits - Health and Life Insurance","Account Index","2720","Account Number","5021-0-6115-0000","Credit Amount","0.00000","Debit Amount","1159.25000","Document Date","1/1/1900","Document Number","DD000000000000138651","Document Sequence","245760","Period ID","2","Posting Type","Profit and Loss","Reference","Payroll Computer Checks","Row ID","5212023","Segment 1","5021","Segment 1 Description","Uinta River High School","Segment 10","","Segment 10 Description","","Segment 2","0","Segment 2 Description","","Segment 3","6115","Segment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Amount","1159.25000","Transaction Date","11/21/2024","Transaction Description","","Vendor Name","ESPLIN, TAMMIE A.","Vendor Number","927","Journal Entry","1574841"</v>
      </c>
      <c r="L139" s="19">
        <v>45617</v>
      </c>
      <c r="M139">
        <v>1574841</v>
      </c>
      <c r="N139" t="str">
        <f t="shared" si="19"/>
        <v>Payroll Check</v>
      </c>
      <c r="O139" t="str">
        <f>"DD000000000000138651"</f>
        <v>DD000000000000138651</v>
      </c>
      <c r="P139" t="str">
        <f t="shared" si="20"/>
        <v>Payroll Computer Checks</v>
      </c>
      <c r="Q139" s="20" t="str">
        <f>""</f>
        <v/>
      </c>
      <c r="R139" s="21">
        <v>1159.25</v>
      </c>
      <c r="S139" s="21">
        <v>0</v>
      </c>
      <c r="T139" s="22">
        <f t="shared" si="21"/>
        <v>1159.25</v>
      </c>
    </row>
    <row r="140" spans="1:20" x14ac:dyDescent="0.25">
      <c r="A140" s="1" t="s">
        <v>25</v>
      </c>
      <c r="B140" s="17"/>
      <c r="C140" s="17"/>
      <c r="F140" s="17" t="e">
        <f t="shared" si="22"/>
        <v>#REF!</v>
      </c>
      <c r="G140" s="17" t="e">
        <f t="shared" si="22"/>
        <v>#REF!</v>
      </c>
      <c r="H140" s="18"/>
      <c r="K140" t="str">
        <f>"""GP"",""Ute Indian Tribe Membership Fund"",""Jet GL Transactions"",""Account Category Description"",""Other Expenses"",""Account Category Number"",""42"",""Account Description"",""Fringe Benefits - Health and Life Insurance"",""Account Index"",""2720"",""Account Number"",""5021-"&amp;"0-6115-0000"",""Credit Amount"",""0.00000"",""Debit Amount"",""1159.25000"",""Document Date"",""1/1/1900"",""Document Number"",""DD000000000000139026"",""Document Sequence"",""262144"",""Period ID"",""3"",""Posting Type"",""Profit and Loss"",""Reference"",""Payroll Computer Checks"",""Row"&amp;" ID"",""5224212"",""Segment 1"",""5021"",""Segment 1 Description"",""Uinta River High School"",""Segment 10"","""",""Segment 10 Description"","""",""Segment 2"",""0"",""Segment 2 Description"","""",""Segment 3"",""6115"",""Segment 3 Description"","""",""Segment 4"",""0000"",""Segment 4 Descript"&amp;"ion"","""",""Segment 5"","""",""Segment 5 Description"","""",""Segment 6"","""",""Segment 6 Description"","""",""Segment 7"","""",""Segment 7 Description"","""",""Segment 8"","""",""Segment 8 Description"","""",""Segment 9"","""",""Segment 9 Description"","""",""Transaction Amount"",""1159.25000"",""Tr"&amp;"ansaction Date"",""12/5/2024"",""Transaction Description"","""",""Vendor Name"",""ESPLIN, TAMMIE A."",""Vendor Number"",""927"",""Journal Entry"",""1576786"""</f>
        <v>"GP","Ute Indian Tribe Membership Fund","Jet GL Transactions","Account Category Description","Other Expenses","Account Category Number","42","Account Description","Fringe Benefits - Health and Life Insurance","Account Index","2720","Account Number","5021-0-6115-0000","Credit Amount","0.00000","Debit Amount","1159.25000","Document Date","1/1/1900","Document Number","DD000000000000139026","Document Sequence","262144","Period ID","3","Posting Type","Profit and Loss","Reference","Payroll Computer Checks","Row ID","5224212","Segment 1","5021","Segment 1 Description","Uinta River High School","Segment 10","","Segment 10 Description","","Segment 2","0","Segment 2 Description","","Segment 3","6115","Segment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Amount","1159.25000","Transaction Date","12/5/2024","Transaction Description","","Vendor Name","ESPLIN, TAMMIE A.","Vendor Number","927","Journal Entry","1576786"</v>
      </c>
      <c r="L140" s="19">
        <v>45631</v>
      </c>
      <c r="M140">
        <v>1576786</v>
      </c>
      <c r="N140" t="str">
        <f t="shared" si="19"/>
        <v>Payroll Check</v>
      </c>
      <c r="O140" t="str">
        <f>"DD000000000000139026"</f>
        <v>DD000000000000139026</v>
      </c>
      <c r="P140" t="str">
        <f t="shared" si="20"/>
        <v>Payroll Computer Checks</v>
      </c>
      <c r="Q140" s="20" t="str">
        <f>""</f>
        <v/>
      </c>
      <c r="R140" s="21">
        <v>1159.25</v>
      </c>
      <c r="S140" s="21">
        <v>0</v>
      </c>
      <c r="T140" s="22">
        <f t="shared" si="21"/>
        <v>1159.25</v>
      </c>
    </row>
    <row r="141" spans="1:20" x14ac:dyDescent="0.25">
      <c r="A141" s="1" t="s">
        <v>25</v>
      </c>
      <c r="B141" s="17"/>
      <c r="C141" s="17"/>
      <c r="F141" s="17" t="e">
        <f t="shared" si="22"/>
        <v>#REF!</v>
      </c>
      <c r="G141" s="17" t="e">
        <f t="shared" si="22"/>
        <v>#REF!</v>
      </c>
      <c r="H141" s="18"/>
      <c r="K141" t="str">
        <f>"""GP"",""Ute Indian Tribe Membership Fund"",""Jet GL Transactions"",""Account Category Description"",""Other Expenses"",""Account Category Number"",""42"",""Account Description"",""Fringe Benefits - Health and Life Insurance"",""Account Index"",""2720"",""Account Number"",""5021-"&amp;"0-6115-0000"",""Credit Amount"",""0.00000"",""Debit Amount"",""1159.25000"",""Document Date"",""1/1/1900"",""Document Number"",""DD000000000000139498"",""Document Sequence"",""229376"",""Period ID"",""3"",""Posting Type"",""Profit and Loss"",""Reference"",""Payroll Computer Checks"",""Row"&amp;" ID"",""5240742"",""Segment 1"",""5021"",""Segment 1 Description"",""Uinta River High School"",""Segment 10"","""",""Segment 10 Description"","""",""Segment 2"",""0"",""Segment 2 Description"","""",""Segment 3"",""6115"",""Segment 3 Description"","""",""Segment 4"",""0000"",""Segment 4 Descript"&amp;"ion"","""",""Segment 5"","""",""Segment 5 Description"","""",""Segment 6"","""",""Segment 6 Description"","""",""Segment 7"","""",""Segment 7 Description"","""",""Segment 8"","""",""Segment 8 Description"","""",""Segment 9"","""",""Segment 9 Description"","""",""Transaction Amount"",""1159.25000"",""Tr"&amp;"ansaction Date"",""12/19/2024"",""Transaction Description"","""",""Vendor Name"",""ESPLIN, TAMMIE A."",""Vendor Number"",""927"",""Journal Entry"",""1579875"""</f>
        <v>"GP","Ute Indian Tribe Membership Fund","Jet GL Transactions","Account Category Description","Other Expenses","Account Category Number","42","Account Description","Fringe Benefits - Health and Life Insurance","Account Index","2720","Account Number","5021-0-6115-0000","Credit Amount","0.00000","Debit Amount","1159.25000","Document Date","1/1/1900","Document Number","DD000000000000139498","Document Sequence","229376","Period ID","3","Posting Type","Profit and Loss","Reference","Payroll Computer Checks","Row ID","5240742","Segment 1","5021","Segment 1 Description","Uinta River High School","Segment 10","","Segment 10 Description","","Segment 2","0","Segment 2 Description","","Segment 3","6115","Segment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Amount","1159.25000","Transaction Date","12/19/2024","Transaction Description","","Vendor Name","ESPLIN, TAMMIE A.","Vendor Number","927","Journal Entry","1579875"</v>
      </c>
      <c r="L141" s="19">
        <v>45645</v>
      </c>
      <c r="M141">
        <v>1579875</v>
      </c>
      <c r="N141" t="str">
        <f t="shared" si="19"/>
        <v>Payroll Check</v>
      </c>
      <c r="O141" t="str">
        <f>"DD000000000000139498"</f>
        <v>DD000000000000139498</v>
      </c>
      <c r="P141" t="str">
        <f t="shared" si="20"/>
        <v>Payroll Computer Checks</v>
      </c>
      <c r="Q141" s="20" t="str">
        <f>""</f>
        <v/>
      </c>
      <c r="R141" s="21">
        <v>1159.25</v>
      </c>
      <c r="S141" s="21">
        <v>0</v>
      </c>
      <c r="T141" s="22">
        <f t="shared" si="21"/>
        <v>1159.25</v>
      </c>
    </row>
    <row r="142" spans="1:20" x14ac:dyDescent="0.25">
      <c r="A142" s="1" t="s">
        <v>25</v>
      </c>
      <c r="B142" s="17"/>
      <c r="C142" s="17"/>
      <c r="F142" s="17" t="e">
        <f t="shared" si="22"/>
        <v>#REF!</v>
      </c>
      <c r="G142" s="17" t="e">
        <f t="shared" si="22"/>
        <v>#REF!</v>
      </c>
      <c r="H142" s="18"/>
      <c r="K142" t="str">
        <f>"""GP"",""Ute Indian Tribe Membership Fund"",""Jet GL Transactions"",""Account Category Description"",""Other Expenses"",""Account Category Number"",""42"",""Account Description"",""Fringe Benefits - Health and Life Insurance"",""Account Index"",""2720"",""Account Number"",""5021-"&amp;"0-6115-0000"",""Credit Amount"",""0.00000"",""Debit Amount"",""1159.25000"",""Document Date"",""1/1/1900"",""Document Number"",""DD000000000000139876"",""Document Sequence"",""245760"",""Period ID"",""3"",""Posting Type"",""Profit and Loss"",""Reference"",""Payroll Computer Checks"",""Row"&amp;" ID"",""5249514"",""Segment 1"",""5021"",""Segment 1 Description"",""Uinta River High School"",""Segment 10"","""",""Segment 10 Description"","""",""Segment 2"",""0"",""Segment 2 Description"","""",""Segment 3"",""6115"",""Segment 3 Description"","""",""Segment 4"",""0000"",""Segment 4 Descript"&amp;"ion"","""",""Segment 5"","""",""Segment 5 Description"","""",""Segment 6"","""",""Segment 6 Description"","""",""Segment 7"","""",""Segment 7 Description"","""",""Segment 8"","""",""Segment 8 Description"","""",""Segment 9"","""",""Segment 9 Description"","""",""Transaction Amount"",""1159.25000"",""Tr"&amp;"ansaction Date"",""12/30/2024"",""Transaction Description"","""",""Vendor Name"",""ESPLIN, TAMMIE A."",""Vendor Number"",""927"",""Journal Entry"",""1580939"""</f>
        <v>"GP","Ute Indian Tribe Membership Fund","Jet GL Transactions","Account Category Description","Other Expenses","Account Category Number","42","Account Description","Fringe Benefits - Health and Life Insurance","Account Index","2720","Account Number","5021-0-6115-0000","Credit Amount","0.00000","Debit Amount","1159.25000","Document Date","1/1/1900","Document Number","DD000000000000139876","Document Sequence","245760","Period ID","3","Posting Type","Profit and Loss","Reference","Payroll Computer Checks","Row ID","5249514","Segment 1","5021","Segment 1 Description","Uinta River High School","Segment 10","","Segment 10 Description","","Segment 2","0","Segment 2 Description","","Segment 3","6115","Segment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Amount","1159.25000","Transaction Date","12/30/2024","Transaction Description","","Vendor Name","ESPLIN, TAMMIE A.","Vendor Number","927","Journal Entry","1580939"</v>
      </c>
      <c r="L142" s="19">
        <v>45656</v>
      </c>
      <c r="M142">
        <v>1580939</v>
      </c>
      <c r="N142" t="str">
        <f t="shared" si="19"/>
        <v>Payroll Check</v>
      </c>
      <c r="O142" t="str">
        <f>"DD000000000000139876"</f>
        <v>DD000000000000139876</v>
      </c>
      <c r="P142" t="str">
        <f t="shared" si="20"/>
        <v>Payroll Computer Checks</v>
      </c>
      <c r="Q142" s="20" t="str">
        <f>""</f>
        <v/>
      </c>
      <c r="R142" s="21">
        <v>1159.25</v>
      </c>
      <c r="S142" s="21">
        <v>0</v>
      </c>
      <c r="T142" s="22">
        <f t="shared" si="21"/>
        <v>1159.25</v>
      </c>
    </row>
    <row r="143" spans="1:20" x14ac:dyDescent="0.25">
      <c r="A143" s="1" t="s">
        <v>25</v>
      </c>
      <c r="B143" s="17"/>
      <c r="C143" s="17"/>
      <c r="F143" s="17" t="e">
        <f>#REF!</f>
        <v>#REF!</v>
      </c>
      <c r="G143" s="17" t="e">
        <f>#REF!</f>
        <v>#REF!</v>
      </c>
      <c r="H143" s="18"/>
    </row>
    <row r="144" spans="1:20" x14ac:dyDescent="0.25">
      <c r="A144" s="1" t="s">
        <v>25</v>
      </c>
      <c r="I144" s="50" t="str">
        <f>I137&amp;"   "&amp;J137&amp;"         Total:"</f>
        <v>5021-0-6115-0000   Fringe Benefits - Health and Life Insurance         Total:</v>
      </c>
      <c r="J144" s="50"/>
      <c r="K144" s="50"/>
      <c r="L144" s="50"/>
      <c r="M144" s="50"/>
      <c r="N144" s="50"/>
      <c r="O144" s="50"/>
      <c r="P144" s="50"/>
      <c r="Q144" s="50"/>
      <c r="R144" s="50"/>
      <c r="S144" s="50"/>
      <c r="T144" s="23">
        <f>SUBTOTAL(9,T138:T143)</f>
        <v>5796.25</v>
      </c>
    </row>
    <row r="145" spans="1:20" x14ac:dyDescent="0.25">
      <c r="A145" s="1" t="s">
        <v>25</v>
      </c>
    </row>
    <row r="146" spans="1:20" x14ac:dyDescent="0.25">
      <c r="A146" s="1" t="s">
        <v>25</v>
      </c>
    </row>
    <row r="147" spans="1:20" x14ac:dyDescent="0.25">
      <c r="A147" s="1" t="s">
        <v>25</v>
      </c>
      <c r="D147" s="1" t="str">
        <f>"||""Filter"",""Jet GL Transactions"",""Account Number"",""Transaction Date"",""10/1/2024..9/30/2025"",""Account Number"",""||""""Filter"""",""""Jet GL Transactions"""",""""Account Number"""",""""Segment 1"""",""""5021"""",""""Segment 2"""",""""*"""",""""Segment 4"""",""""0000|9050"""""""</f>
        <v>||"Filter","Jet GL Transactions","Account Number","Transaction Date","10/1/2024..9/30/2025","Account Number","||""Filter"",""Jet GL Transactions"",""Account Number"",""Segment 1"",""5021"",""Segment 2"",""*"",""Segment 4"",""0000|9050"""</v>
      </c>
      <c r="F147" s="1" t="str">
        <f>"5021-0-6120-0000"</f>
        <v>5021-0-6120-0000</v>
      </c>
      <c r="G147" s="1" t="str">
        <f>"5021-0-6120-0000"</f>
        <v>5021-0-6120-0000</v>
      </c>
      <c r="I147" s="15" t="str">
        <f>G147</f>
        <v>5021-0-6120-0000</v>
      </c>
      <c r="J147" s="15" t="str">
        <f>"Fringe Benefits - Retirement"</f>
        <v>Fringe Benefits - Retirement</v>
      </c>
      <c r="Q147" s="15"/>
      <c r="R147" s="16"/>
    </row>
    <row r="148" spans="1:20" x14ac:dyDescent="0.25">
      <c r="A148" s="1" t="s">
        <v>25</v>
      </c>
      <c r="B148" s="17"/>
      <c r="C148" s="17"/>
      <c r="F148" s="17" t="e">
        <f>#REF!</f>
        <v>#REF!</v>
      </c>
      <c r="G148" s="17" t="e">
        <f>#REF!</f>
        <v>#REF!</v>
      </c>
      <c r="H148" s="18"/>
      <c r="K148" t="str">
        <f>"""GP"",""Ute Indian Tribe Membership Fund"",""Jet GL Transactions"",""Account Category Description"",""Other Expenses"",""Account Category Number"",""42"",""Account Description"",""Fringe Benefits - Retirement"",""Account Index"",""2889"",""Account Number"",""5021-0-6120-0000"",""C"&amp;"redit Amount"",""0.00000"",""Debit Amount"",""63.55000"",""Document Date"",""1/1/1900"",""Document Number"",""DD000000000000138266"",""Document Sequence"",""212992"",""Period ID"",""2"",""Posting Type"",""Profit and Loss"",""Reference"",""Payroll Computer Checks"",""Row ID"",""5194373"",""S"&amp;"egment 1"",""5021"",""Segment 1 Description"",""Uinta River High School"",""Segment 10"","""",""Segment 10 Description"","""",""Segment 2"",""0"",""Segment 2 Description"","""",""Segment 3"",""6120"",""Segment 3 Description"","""",""Segment 4"",""0000"",""Segment 4 Description"","""",""Segment "&amp;"5"","""",""Segment 5 Description"","""",""Segment 6"","""",""Segment 6 Description"","""",""Segment 7"","""",""Segment 7 Description"","""",""Segment 8"","""",""Segment 8 Description"","""",""Segment 9"","""",""Segment 9 Description"","""",""Transaction Amount"",""63.55000"",""Transaction Date"",""11"&amp;"/7/2024"",""Transaction Description"","""",""Vendor Name"",""THACKER, STEPHANIE"",""Vendor Number"",""928"",""Journal Entry"",""1571263"""</f>
        <v>"GP","Ute Indian Tribe Membership Fund","Jet GL Transactions","Account Category Description","Other Expenses","Account Category Number","42","Account Description","Fringe Benefits - Retirement","Account Index","2889","Account Number","5021-0-6120-0000","Credit Amount","0.00000","Debit Amount","63.55000","Document Date","1/1/1900","Document Number","DD000000000000138266","Document Sequence","212992","Period ID","2","Posting Type","Profit and Loss","Reference","Payroll Computer Checks","Row ID","5194373","Segment 1","5021","Segment 1 Description","Uinta River High School","Segment 10","","Segment 10 Description","","Segment 2","0","Segment 2 Description","","Segment 3","6120","Segment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Amount","63.55000","Transaction Date","11/7/2024","Transaction Description","","Vendor Name","THACKER, STEPHANIE","Vendor Number","928","Journal Entry","1571263"</v>
      </c>
      <c r="L148" s="19">
        <v>45603</v>
      </c>
      <c r="M148">
        <v>1571263</v>
      </c>
      <c r="N148" t="str">
        <f t="shared" ref="N148:N157" si="23">"Payroll Check"</f>
        <v>Payroll Check</v>
      </c>
      <c r="O148" t="str">
        <f>"DD000000000000138266"</f>
        <v>DD000000000000138266</v>
      </c>
      <c r="P148" t="str">
        <f t="shared" ref="P148:P157" si="24">"Payroll Computer Checks"</f>
        <v>Payroll Computer Checks</v>
      </c>
      <c r="Q148" s="20" t="str">
        <f>""</f>
        <v/>
      </c>
      <c r="R148" s="21">
        <v>63.55</v>
      </c>
      <c r="S148" s="21">
        <v>0</v>
      </c>
      <c r="T148" s="22">
        <f t="shared" ref="T148:T157" si="25">SUM(R148:S148)</f>
        <v>63.55</v>
      </c>
    </row>
    <row r="149" spans="1:20" x14ac:dyDescent="0.25">
      <c r="A149" s="1" t="s">
        <v>25</v>
      </c>
      <c r="B149" s="17"/>
      <c r="C149" s="17"/>
      <c r="F149" s="17" t="e">
        <f t="shared" ref="F149:G157" si="26">F148</f>
        <v>#REF!</v>
      </c>
      <c r="G149" s="17" t="e">
        <f t="shared" si="26"/>
        <v>#REF!</v>
      </c>
      <c r="H149" s="18"/>
      <c r="K149" t="str">
        <f>"""GP"",""Ute Indian Tribe Membership Fund"",""Jet GL Transactions"",""Account Category Description"",""Other Expenses"",""Account Category Number"",""42"",""Account Description"",""Fringe Benefits - Retirement"",""Account Index"",""2889"",""Account Number"",""5021-0-6120-0000"",""C"&amp;"redit Amount"",""0.00000"",""Debit Amount"",""149.85000"",""Document Date"",""1/1/1900"",""Document Number"",""DD000000000000138264"",""Document Sequence"",""311296"",""Period ID"",""2"",""Posting Type"",""Profit and Loss"",""Reference"",""Payroll Computer Checks"",""Row ID"",""5194356"","""&amp;"Segment 1"",""5021"",""Segment 1 Description"",""Uinta River High School"",""Segment 10"","""",""Segment 10 Description"","""",""Segment 2"",""0"",""Segment 2 Description"","""",""Segment 3"",""6120"",""Segment 3 Description"","""",""Segment 4"",""0000"",""Segment 4 Description"","""",""Segment"&amp;" 5"","""",""Segment 5 Description"","""",""Segment 6"","""",""Segment 6 Description"","""",""Segment 7"","""",""Segment 7 Description"","""",""Segment 8"","""",""Segment 8 Description"","""",""Segment 9"","""",""Segment 9 Description"","""",""Transaction Amount"",""149.85000"",""Transaction Date"","""&amp;"11/7/2024"",""Transaction Description"","""",""Vendor Name"",""ESPLIN, TAMMIE A."",""Vendor Number"",""927"",""Journal Entry"",""1571262"""</f>
        <v>"GP","Ute Indian Tribe Membership Fund","Jet GL Transactions","Account Category Description","Other Expenses","Account Category Number","42","Account Description","Fringe Benefits - Retirement","Account Index","2889","Account Number","5021-0-6120-0000","Credit Amount","0.00000","Debit Amount","149.85000","Document Date","1/1/1900","Document Number","DD000000000000138264","Document Sequence","311296","Period ID","2","Posting Type","Profit and Loss","Reference","Payroll Computer Checks","Row ID","5194356","Segment 1","5021","Segment 1 Description","Uinta River High School","Segment 10","","Segment 10 Description","","Segment 2","0","Segment 2 Description","","Segment 3","6120","Segment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Amount","149.85000","Transaction Date","11/7/2024","Transaction Description","","Vendor Name","ESPLIN, TAMMIE A.","Vendor Number","927","Journal Entry","1571262"</v>
      </c>
      <c r="L149" s="19">
        <v>45603</v>
      </c>
      <c r="M149">
        <v>1571262</v>
      </c>
      <c r="N149" t="str">
        <f t="shared" si="23"/>
        <v>Payroll Check</v>
      </c>
      <c r="O149" t="str">
        <f>"DD000000000000138264"</f>
        <v>DD000000000000138264</v>
      </c>
      <c r="P149" t="str">
        <f t="shared" si="24"/>
        <v>Payroll Computer Checks</v>
      </c>
      <c r="Q149" s="20" t="str">
        <f>""</f>
        <v/>
      </c>
      <c r="R149" s="21">
        <v>149.85</v>
      </c>
      <c r="S149" s="21">
        <v>0</v>
      </c>
      <c r="T149" s="22">
        <f t="shared" si="25"/>
        <v>149.85</v>
      </c>
    </row>
    <row r="150" spans="1:20" x14ac:dyDescent="0.25">
      <c r="A150" s="1" t="s">
        <v>25</v>
      </c>
      <c r="B150" s="17"/>
      <c r="C150" s="17"/>
      <c r="F150" s="17" t="e">
        <f t="shared" si="26"/>
        <v>#REF!</v>
      </c>
      <c r="G150" s="17" t="e">
        <f t="shared" si="26"/>
        <v>#REF!</v>
      </c>
      <c r="H150" s="18"/>
      <c r="K150" t="str">
        <f>"""GP"",""Ute Indian Tribe Membership Fund"",""Jet GL Transactions"",""Account Category Description"",""Other Expenses"",""Account Category Number"",""42"",""Account Description"",""Fringe Benefits - Retirement"",""Account Index"",""2889"",""Account Number"",""5021-0-6120-0000"",""C"&amp;"redit Amount"",""0.00000"",""Debit Amount"",""63.55000"",""Document Date"",""1/1/1900"",""Document Number"",""DD000000000000138653"",""Document Sequence"",""229376"",""Period ID"",""2"",""Posting Type"",""Profit and Loss"",""Reference"",""Payroll Computer Checks"",""Row ID"",""5212042"",""S"&amp;"egment 1"",""5021"",""Segment 1 Description"",""Uinta River High School"",""Segment 10"","""",""Segment 10 Description"","""",""Segment 2"",""0"",""Segment 2 Description"","""",""Segment 3"",""6120"",""Segment 3 Description"","""",""Segment 4"",""0000"",""Segment 4 Description"","""",""Segment "&amp;"5"","""",""Segment 5 Description"","""",""Segment 6"","""",""Segment 6 Description"","""",""Segment 7"","""",""Segment 7 Description"","""",""Segment 8"","""",""Segment 8 Description"","""",""Segment 9"","""",""Segment 9 Description"","""",""Transaction Amount"",""63.55000"",""Transaction Date"",""11"&amp;"/21/2024"",""Transaction Description"","""",""Vendor Name"",""THACKER, STEPHANIE"",""Vendor Number"",""928"",""Journal Entry"",""1574842"""</f>
        <v>"GP","Ute Indian Tribe Membership Fund","Jet GL Transactions","Account Category Description","Other Expenses","Account Category Number","42","Account Description","Fringe Benefits - Retirement","Account Index","2889","Account Number","5021-0-6120-0000","Credit Amount","0.00000","Debit Amount","63.55000","Document Date","1/1/1900","Document Number","DD000000000000138653","Document Sequence","229376","Period ID","2","Posting Type","Profit and Loss","Reference","Payroll Computer Checks","Row ID","5212042","Segment 1","5021","Segment 1 Description","Uinta River High School","Segment 10","","Segment 10 Description","","Segment 2","0","Segment 2 Description","","Segment 3","6120","Segment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Amount","63.55000","Transaction Date","11/21/2024","Transaction Description","","Vendor Name","THACKER, STEPHANIE","Vendor Number","928","Journal Entry","1574842"</v>
      </c>
      <c r="L150" s="19">
        <v>45617</v>
      </c>
      <c r="M150">
        <v>1574842</v>
      </c>
      <c r="N150" t="str">
        <f t="shared" si="23"/>
        <v>Payroll Check</v>
      </c>
      <c r="O150" t="str">
        <f>"DD000000000000138653"</f>
        <v>DD000000000000138653</v>
      </c>
      <c r="P150" t="str">
        <f t="shared" si="24"/>
        <v>Payroll Computer Checks</v>
      </c>
      <c r="Q150" s="20" t="str">
        <f>""</f>
        <v/>
      </c>
      <c r="R150" s="21">
        <v>63.55</v>
      </c>
      <c r="S150" s="21">
        <v>0</v>
      </c>
      <c r="T150" s="22">
        <f t="shared" si="25"/>
        <v>63.55</v>
      </c>
    </row>
    <row r="151" spans="1:20" x14ac:dyDescent="0.25">
      <c r="A151" s="1" t="s">
        <v>25</v>
      </c>
      <c r="B151" s="17"/>
      <c r="C151" s="17"/>
      <c r="F151" s="17" t="e">
        <f t="shared" si="26"/>
        <v>#REF!</v>
      </c>
      <c r="G151" s="17" t="e">
        <f t="shared" si="26"/>
        <v>#REF!</v>
      </c>
      <c r="H151" s="18"/>
      <c r="K151" t="str">
        <f>"""GP"",""Ute Indian Tribe Membership Fund"",""Jet GL Transactions"",""Account Category Description"",""Other Expenses"",""Account Category Number"",""42"",""Account Description"",""Fringe Benefits - Retirement"",""Account Index"",""2889"",""Account Number"",""5021-0-6120-0000"",""C"&amp;"redit Amount"",""0.00000"",""Debit Amount"",""146.13000"",""Document Date"",""1/1/1900"",""Document Number"",""DD000000000000138651"",""Document Sequence"",""311296"",""Period ID"",""2"",""Posting Type"",""Profit and Loss"",""Reference"",""Payroll Computer Checks"",""Row ID"",""5212024"","""&amp;"Segment 1"",""5021"",""Segment 1 Description"",""Uinta River High School"",""Segment 10"","""",""Segment 10 Description"","""",""Segment 2"",""0"",""Segment 2 Description"","""",""Segment 3"",""6120"",""Segment 3 Description"","""",""Segment 4"",""0000"",""Segment 4 Description"","""",""Segment"&amp;" 5"","""",""Segment 5 Description"","""",""Segment 6"","""",""Segment 6 Description"","""",""Segment 7"","""",""Segment 7 Description"","""",""Segment 8"","""",""Segment 8 Description"","""",""Segment 9"","""",""Segment 9 Description"","""",""Transaction Amount"",""146.13000"",""Transaction Date"","""&amp;"11/21/2024"",""Transaction Description"","""",""Vendor Name"",""ESPLIN, TAMMIE A."",""Vendor Number"",""927"",""Journal Entry"",""1574841"""</f>
        <v>"GP","Ute Indian Tribe Membership Fund","Jet GL Transactions","Account Category Description","Other Expenses","Account Category Number","42","Account Description","Fringe Benefits - Retirement","Account Index","2889","Account Number","5021-0-6120-0000","Credit Amount","0.00000","Debit Amount","146.13000","Document Date","1/1/1900","Document Number","DD000000000000138651","Document Sequence","311296","Period ID","2","Posting Type","Profit and Loss","Reference","Payroll Computer Checks","Row ID","5212024","Segment 1","5021","Segment 1 Description","Uinta River High School","Segment 10","","Segment 10 Description","","Segment 2","0","Segment 2 Description","","Segment 3","6120","Segment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Amount","146.13000","Transaction Date","11/21/2024","Transaction Description","","Vendor Name","ESPLIN, TAMMIE A.","Vendor Number","927","Journal Entry","1574841"</v>
      </c>
      <c r="L151" s="19">
        <v>45617</v>
      </c>
      <c r="M151">
        <v>1574841</v>
      </c>
      <c r="N151" t="str">
        <f t="shared" si="23"/>
        <v>Payroll Check</v>
      </c>
      <c r="O151" t="str">
        <f>"DD000000000000138651"</f>
        <v>DD000000000000138651</v>
      </c>
      <c r="P151" t="str">
        <f t="shared" si="24"/>
        <v>Payroll Computer Checks</v>
      </c>
      <c r="Q151" s="20" t="str">
        <f>""</f>
        <v/>
      </c>
      <c r="R151" s="21">
        <v>146.13</v>
      </c>
      <c r="S151" s="21">
        <v>0</v>
      </c>
      <c r="T151" s="22">
        <f t="shared" si="25"/>
        <v>146.13</v>
      </c>
    </row>
    <row r="152" spans="1:20" x14ac:dyDescent="0.25">
      <c r="A152" s="1" t="s">
        <v>25</v>
      </c>
      <c r="B152" s="17"/>
      <c r="C152" s="17"/>
      <c r="F152" s="17" t="e">
        <f t="shared" si="26"/>
        <v>#REF!</v>
      </c>
      <c r="G152" s="17" t="e">
        <f t="shared" si="26"/>
        <v>#REF!</v>
      </c>
      <c r="H152" s="18"/>
      <c r="K152" t="str">
        <f>"""GP"",""Ute Indian Tribe Membership Fund"",""Jet GL Transactions"",""Account Category Description"",""Other Expenses"",""Account Category Number"",""42"",""Account Description"",""Fringe Benefits - Retirement"",""Account Index"",""2889"",""Account Number"",""5021-0-6120-0000"",""C"&amp;"redit Amount"",""0.00000"",""Debit Amount"",""130.53000"",""Document Date"",""1/1/1900"",""Document Number"",""DD000000000000139028"",""Document Sequence"",""245760"",""Period ID"",""3"",""Posting Type"",""Profit and Loss"",""Reference"",""Payroll Computer Checks"",""Row ID"",""5224231"","""&amp;"Segment 1"",""5021"",""Segment 1 Description"",""Uinta River High School"",""Segment 10"","""",""Segment 10 Description"","""",""Segment 2"",""0"",""Segment 2 Description"","""",""Segment 3"",""6120"",""Segment 3 Description"","""",""Segment 4"",""0000"",""Segment 4 Description"","""",""Segment"&amp;" 5"","""",""Segment 5 Description"","""",""Segment 6"","""",""Segment 6 Description"","""",""Segment 7"","""",""Segment 7 Description"","""",""Segment 8"","""",""Segment 8 Description"","""",""Segment 9"","""",""Segment 9 Description"","""",""Transaction Amount"",""130.53000"",""Transaction Date"","""&amp;"12/5/2024"",""Transaction Description"","""",""Vendor Name"",""THACKER, STEPHANIE"",""Vendor Number"",""928"",""Journal Entry"",""1576787"""</f>
        <v>"GP","Ute Indian Tribe Membership Fund","Jet GL Transactions","Account Category Description","Other Expenses","Account Category Number","42","Account Description","Fringe Benefits - Retirement","Account Index","2889","Account Number","5021-0-6120-0000","Credit Amount","0.00000","Debit Amount","130.53000","Document Date","1/1/1900","Document Number","DD000000000000139028","Document Sequence","245760","Period ID","3","Posting Type","Profit and Loss","Reference","Payroll Computer Checks","Row ID","5224231","Segment 1","5021","Segment 1 Description","Uinta River High School","Segment 10","","Segment 10 Description","","Segment 2","0","Segment 2 Description","","Segment 3","6120","Segment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Amount","130.53000","Transaction Date","12/5/2024","Transaction Description","","Vendor Name","THACKER, STEPHANIE","Vendor Number","928","Journal Entry","1576787"</v>
      </c>
      <c r="L152" s="19">
        <v>45631</v>
      </c>
      <c r="M152">
        <v>1576787</v>
      </c>
      <c r="N152" t="str">
        <f t="shared" si="23"/>
        <v>Payroll Check</v>
      </c>
      <c r="O152" t="str">
        <f>"DD000000000000139028"</f>
        <v>DD000000000000139028</v>
      </c>
      <c r="P152" t="str">
        <f t="shared" si="24"/>
        <v>Payroll Computer Checks</v>
      </c>
      <c r="Q152" s="20" t="str">
        <f>""</f>
        <v/>
      </c>
      <c r="R152" s="21">
        <v>130.53</v>
      </c>
      <c r="S152" s="21">
        <v>0</v>
      </c>
      <c r="T152" s="22">
        <f t="shared" si="25"/>
        <v>130.53</v>
      </c>
    </row>
    <row r="153" spans="1:20" x14ac:dyDescent="0.25">
      <c r="A153" s="1" t="s">
        <v>25</v>
      </c>
      <c r="B153" s="17"/>
      <c r="C153" s="17"/>
      <c r="F153" s="17" t="e">
        <f t="shared" si="26"/>
        <v>#REF!</v>
      </c>
      <c r="G153" s="17" t="e">
        <f t="shared" si="26"/>
        <v>#REF!</v>
      </c>
      <c r="H153" s="18"/>
      <c r="K153" t="str">
        <f>"""GP"",""Ute Indian Tribe Membership Fund"",""Jet GL Transactions"",""Account Category Description"",""Other Expenses"",""Account Category Number"",""42"",""Account Description"",""Fringe Benefits - Retirement"",""Account Index"",""2889"",""Account Number"",""5021-0-6120-0000"",""C"&amp;"redit Amount"",""0.00000"",""Debit Amount"",""191.87000"",""Document Date"",""1/1/1900"",""Document Number"",""DD000000000000139026"",""Document Sequence"",""327680"",""Period ID"",""3"",""Posting Type"",""Profit and Loss"",""Reference"",""Payroll Computer Checks"",""Row ID"",""5224213"","""&amp;"Segment 1"",""5021"",""Segment 1 Description"",""Uinta River High School"",""Segment 10"","""",""Segment 10 Description"","""",""Segment 2"",""0"",""Segment 2 Description"","""",""Segment 3"",""6120"",""Segment 3 Description"","""",""Segment 4"",""0000"",""Segment 4 Description"","""",""Segment"&amp;" 5"","""",""Segment 5 Description"","""",""Segment 6"","""",""Segment 6 Description"","""",""Segment 7"","""",""Segment 7 Description"","""",""Segment 8"","""",""Segment 8 Description"","""",""Segment 9"","""",""Segment 9 Description"","""",""Transaction Amount"",""191.87000"",""Transaction Date"","""&amp;"12/5/2024"",""Transaction Description"","""",""Vendor Name"",""ESPLIN, TAMMIE A."",""Vendor Number"",""927"",""Journal Entry"",""1576786"""</f>
        <v>"GP","Ute Indian Tribe Membership Fund","Jet GL Transactions","Account Category Description","Other Expenses","Account Category Number","42","Account Description","Fringe Benefits - Retirement","Account Index","2889","Account Number","5021-0-6120-0000","Credit Amount","0.00000","Debit Amount","191.87000","Document Date","1/1/1900","Document Number","DD000000000000139026","Document Sequence","327680","Period ID","3","Posting Type","Profit and Loss","Reference","Payroll Computer Checks","Row ID","5224213","Segment 1","5021","Segment 1 Description","Uinta River High School","Segment 10","","Segment 10 Description","","Segment 2","0","Segment 2 Description","","Segment 3","6120","Segment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Amount","191.87000","Transaction Date","12/5/2024","Transaction Description","","Vendor Name","ESPLIN, TAMMIE A.","Vendor Number","927","Journal Entry","1576786"</v>
      </c>
      <c r="L153" s="19">
        <v>45631</v>
      </c>
      <c r="M153">
        <v>1576786</v>
      </c>
      <c r="N153" t="str">
        <f t="shared" si="23"/>
        <v>Payroll Check</v>
      </c>
      <c r="O153" t="str">
        <f>"DD000000000000139026"</f>
        <v>DD000000000000139026</v>
      </c>
      <c r="P153" t="str">
        <f t="shared" si="24"/>
        <v>Payroll Computer Checks</v>
      </c>
      <c r="Q153" s="20" t="str">
        <f>""</f>
        <v/>
      </c>
      <c r="R153" s="21">
        <v>191.87</v>
      </c>
      <c r="S153" s="21">
        <v>0</v>
      </c>
      <c r="T153" s="22">
        <f t="shared" si="25"/>
        <v>191.87</v>
      </c>
    </row>
    <row r="154" spans="1:20" x14ac:dyDescent="0.25">
      <c r="A154" s="1" t="s">
        <v>25</v>
      </c>
      <c r="B154" s="17"/>
      <c r="C154" s="17"/>
      <c r="F154" s="17" t="e">
        <f t="shared" si="26"/>
        <v>#REF!</v>
      </c>
      <c r="G154" s="17" t="e">
        <f t="shared" si="26"/>
        <v>#REF!</v>
      </c>
      <c r="H154" s="18"/>
      <c r="K154" t="str">
        <f>"""GP"",""Ute Indian Tribe Membership Fund"",""Jet GL Transactions"",""Account Category Description"",""Other Expenses"",""Account Category Number"",""42"",""Account Description"",""Fringe Benefits - Retirement"",""Account Index"",""2889"",""Account Number"",""5021-0-6120-0000"",""C"&amp;"redit Amount"",""0.00000"",""Debit Amount"",""133.36000"",""Document Date"",""1/1/1900"",""Document Number"",""DD000000000000139498"",""Document Sequence"",""294912"",""Period ID"",""3"",""Posting Type"",""Profit and Loss"",""Reference"",""Payroll Computer Checks"",""Row ID"",""5240743"","""&amp;"Segment 1"",""5021"",""Segment 1 Description"",""Uinta River High School"",""Segment 10"","""",""Segment 10 Description"","""",""Segment 2"",""0"",""Segment 2 Description"","""",""Segment 3"",""6120"",""Segment 3 Description"","""",""Segment 4"",""0000"",""Segment 4 Description"","""",""Segment"&amp;" 5"","""",""Segment 5 Description"","""",""Segment 6"","""",""Segment 6 Description"","""",""Segment 7"","""",""Segment 7 Description"","""",""Segment 8"","""",""Segment 8 Description"","""",""Segment 9"","""",""Segment 9 Description"","""",""Transaction Amount"",""133.36000"",""Transaction Date"","""&amp;"12/19/2024"",""Transaction Description"","""",""Vendor Name"",""ESPLIN, TAMMIE A."",""Vendor Number"",""927"",""Journal Entry"",""1579875"""</f>
        <v>"GP","Ute Indian Tribe Membership Fund","Jet GL Transactions","Account Category Description","Other Expenses","Account Category Number","42","Account Description","Fringe Benefits - Retirement","Account Index","2889","Account Number","5021-0-6120-0000","Credit Amount","0.00000","Debit Amount","133.36000","Document Date","1/1/1900","Document Number","DD000000000000139498","Document Sequence","294912","Period ID","3","Posting Type","Profit and Loss","Reference","Payroll Computer Checks","Row ID","5240743","Segment 1","5021","Segment 1 Description","Uinta River High School","Segment 10","","Segment 10 Description","","Segment 2","0","Segment 2 Description","","Segment 3","6120","Segment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Amount","133.36000","Transaction Date","12/19/2024","Transaction Description","","Vendor Name","ESPLIN, TAMMIE A.","Vendor Number","927","Journal Entry","1579875"</v>
      </c>
      <c r="L154" s="19">
        <v>45645</v>
      </c>
      <c r="M154">
        <v>1579875</v>
      </c>
      <c r="N154" t="str">
        <f t="shared" si="23"/>
        <v>Payroll Check</v>
      </c>
      <c r="O154" t="str">
        <f>"DD000000000000139498"</f>
        <v>DD000000000000139498</v>
      </c>
      <c r="P154" t="str">
        <f t="shared" si="24"/>
        <v>Payroll Computer Checks</v>
      </c>
      <c r="Q154" s="20" t="str">
        <f>""</f>
        <v/>
      </c>
      <c r="R154" s="21">
        <v>133.36000000000001</v>
      </c>
      <c r="S154" s="21">
        <v>0</v>
      </c>
      <c r="T154" s="22">
        <f t="shared" si="25"/>
        <v>133.36000000000001</v>
      </c>
    </row>
    <row r="155" spans="1:20" x14ac:dyDescent="0.25">
      <c r="A155" s="1" t="s">
        <v>25</v>
      </c>
      <c r="B155" s="17"/>
      <c r="C155" s="17"/>
      <c r="F155" s="17" t="e">
        <f t="shared" si="26"/>
        <v>#REF!</v>
      </c>
      <c r="G155" s="17" t="e">
        <f t="shared" si="26"/>
        <v>#REF!</v>
      </c>
      <c r="H155" s="18"/>
      <c r="K155" t="str">
        <f>"""GP"",""Ute Indian Tribe Membership Fund"",""Jet GL Transactions"",""Account Category Description"",""Other Expenses"",""Account Category Number"",""42"",""Account Description"",""Fringe Benefits - Retirement"",""Account Index"",""2889"",""Account Number"",""5021-0-6120-0000"",""C"&amp;"redit Amount"",""0.00000"",""Debit Amount"",""578.20000"",""Document Date"",""1/1/1900"",""Document Number"",""DD000000000000139500"",""Document Sequence"",""245760"",""Period ID"",""3"",""Posting Type"",""Profit and Loss"",""Reference"",""Payroll Computer Checks"",""Row ID"",""5240761"","""&amp;"Segment 1"",""5021"",""Segment 1 Description"",""Uinta River High School"",""Segment 10"","""",""Segment 10 Description"","""",""Segment 2"",""0"",""Segment 2 Description"","""",""Segment 3"",""6120"",""Segment 3 Description"","""",""Segment 4"",""0000"",""Segment 4 Description"","""",""Segment"&amp;" 5"","""",""Segment 5 Description"","""",""Segment 6"","""",""Segment 6 Description"","""",""Segment 7"","""",""Segment 7 Description"","""",""Segment 8"","""",""Segment 8 Description"","""",""Segment 9"","""",""Segment 9 Description"","""",""Transaction Amount"",""578.20000"",""Transaction Date"","""&amp;"12/19/2024"",""Transaction Description"","""",""Vendor Name"",""THACKER, STEPHANIE"",""Vendor Number"",""928"",""Journal Entry"",""1579876"""</f>
        <v>"GP","Ute Indian Tribe Membership Fund","Jet GL Transactions","Account Category Description","Other Expenses","Account Category Number","42","Account Description","Fringe Benefits - Retirement","Account Index","2889","Account Number","5021-0-6120-0000","Credit Amount","0.00000","Debit Amount","578.20000","Document Date","1/1/1900","Document Number","DD000000000000139500","Document Sequence","245760","Period ID","3","Posting Type","Profit and Loss","Reference","Payroll Computer Checks","Row ID","5240761","Segment 1","5021","Segment 1 Description","Uinta River High School","Segment 10","","Segment 10 Description","","Segment 2","0","Segment 2 Description","","Segment 3","6120","Segment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Amount","578.20000","Transaction Date","12/19/2024","Transaction Description","","Vendor Name","THACKER, STEPHANIE","Vendor Number","928","Journal Entry","1579876"</v>
      </c>
      <c r="L155" s="19">
        <v>45645</v>
      </c>
      <c r="M155">
        <v>1579876</v>
      </c>
      <c r="N155" t="str">
        <f t="shared" si="23"/>
        <v>Payroll Check</v>
      </c>
      <c r="O155" t="str">
        <f>"DD000000000000139500"</f>
        <v>DD000000000000139500</v>
      </c>
      <c r="P155" t="str">
        <f t="shared" si="24"/>
        <v>Payroll Computer Checks</v>
      </c>
      <c r="Q155" s="20" t="str">
        <f>""</f>
        <v/>
      </c>
      <c r="R155" s="21">
        <v>578.20000000000005</v>
      </c>
      <c r="S155" s="21">
        <v>0</v>
      </c>
      <c r="T155" s="22">
        <f t="shared" si="25"/>
        <v>578.20000000000005</v>
      </c>
    </row>
    <row r="156" spans="1:20" x14ac:dyDescent="0.25">
      <c r="A156" s="1" t="s">
        <v>25</v>
      </c>
      <c r="B156" s="17"/>
      <c r="C156" s="17"/>
      <c r="F156" s="17" t="e">
        <f t="shared" si="26"/>
        <v>#REF!</v>
      </c>
      <c r="G156" s="17" t="e">
        <f t="shared" si="26"/>
        <v>#REF!</v>
      </c>
      <c r="H156" s="18"/>
      <c r="K156" t="str">
        <f>"""GP"",""Ute Indian Tribe Membership Fund"",""Jet GL Transactions"",""Account Category Description"",""Other Expenses"",""Account Category Number"",""42"",""Account Description"",""Fringe Benefits - Retirement"",""Account Index"",""2889"",""Account Number"",""5021-0-6120-0000"",""C"&amp;"redit Amount"",""0.00000"",""Debit Amount"",""66.08000"",""Document Date"",""1/1/1900"",""Document Number"",""DD000000000000139878"",""Document Sequence"",""212992"",""Period ID"",""3"",""Posting Type"",""Profit and Loss"",""Reference"",""Payroll Computer Checks"",""Row ID"",""5249531"",""S"&amp;"egment 1"",""5021"",""Segment 1 Description"",""Uinta River High School"",""Segment 10"","""",""Segment 10 Description"","""",""Segment 2"",""0"",""Segment 2 Description"","""",""Segment 3"",""6120"",""Segment 3 Description"","""",""Segment 4"",""0000"",""Segment 4 Description"","""",""Segment "&amp;"5"","""",""Segment 5 Description"","""",""Segment 6"","""",""Segment 6 Description"","""",""Segment 7"","""",""Segment 7 Description"","""",""Segment 8"","""",""Segment 8 Description"","""",""Segment 9"","""",""Segment 9 Description"","""",""Transaction Amount"",""66.08000"",""Transaction Date"",""12"&amp;"/30/2024"",""Transaction Description"","""",""Vendor Name"",""THACKER, STEPHANIE"",""Vendor Number"",""928"",""Journal Entry"",""1580940"""</f>
        <v>"GP","Ute Indian Tribe Membership Fund","Jet GL Transactions","Account Category Description","Other Expenses","Account Category Number","42","Account Description","Fringe Benefits - Retirement","Account Index","2889","Account Number","5021-0-6120-0000","Credit Amount","0.00000","Debit Amount","66.08000","Document Date","1/1/1900","Document Number","DD000000000000139878","Document Sequence","212992","Period ID","3","Posting Type","Profit and Loss","Reference","Payroll Computer Checks","Row ID","5249531","Segment 1","5021","Segment 1 Description","Uinta River High School","Segment 10","","Segment 10 Description","","Segment 2","0","Segment 2 Description","","Segment 3","6120","Segment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Amount","66.08000","Transaction Date","12/30/2024","Transaction Description","","Vendor Name","THACKER, STEPHANIE","Vendor Number","928","Journal Entry","1580940"</v>
      </c>
      <c r="L156" s="19">
        <v>45656</v>
      </c>
      <c r="M156">
        <v>1580940</v>
      </c>
      <c r="N156" t="str">
        <f t="shared" si="23"/>
        <v>Payroll Check</v>
      </c>
      <c r="O156" t="str">
        <f>"DD000000000000139878"</f>
        <v>DD000000000000139878</v>
      </c>
      <c r="P156" t="str">
        <f t="shared" si="24"/>
        <v>Payroll Computer Checks</v>
      </c>
      <c r="Q156" s="20" t="str">
        <f>""</f>
        <v/>
      </c>
      <c r="R156" s="21">
        <v>66.08</v>
      </c>
      <c r="S156" s="21">
        <v>0</v>
      </c>
      <c r="T156" s="22">
        <f t="shared" si="25"/>
        <v>66.08</v>
      </c>
    </row>
    <row r="157" spans="1:20" x14ac:dyDescent="0.25">
      <c r="A157" s="1" t="s">
        <v>25</v>
      </c>
      <c r="B157" s="17"/>
      <c r="C157" s="17"/>
      <c r="F157" s="17" t="e">
        <f t="shared" si="26"/>
        <v>#REF!</v>
      </c>
      <c r="G157" s="17" t="e">
        <f t="shared" si="26"/>
        <v>#REF!</v>
      </c>
      <c r="H157" s="18"/>
      <c r="K157" t="str">
        <f>"""GP"",""Ute Indian Tribe Membership Fund"",""Jet GL Transactions"",""Account Category Description"",""Other Expenses"",""Account Category Number"",""42"",""Account Description"",""Fringe Benefits - Retirement"",""Account Index"",""2889"",""Account Number"",""5021-0-6120-0000"",""C"&amp;"redit Amount"",""0.00000"",""Debit Amount"",""124.85000"",""Document Date"",""1/1/1900"",""Document Number"",""DD000000000000139876"",""Document Sequence"",""311296"",""Period ID"",""3"",""Posting Type"",""Profit and Loss"",""Reference"",""Payroll Computer Checks"",""Row ID"",""5249515"","""&amp;"Segment 1"",""5021"",""Segment 1 Description"",""Uinta River High School"",""Segment 10"","""",""Segment 10 Description"","""",""Segment 2"",""0"",""Segment 2 Description"","""",""Segment 3"",""6120"",""Segment 3 Description"","""",""Segment 4"",""0000"",""Segment 4 Description"","""",""Segment"&amp;" 5"","""",""Segment 5 Description"","""",""Segment 6"","""",""Segment 6 Description"","""",""Segment 7"","""",""Segment 7 Description"","""",""Segment 8"","""",""Segment 8 Description"","""",""Segment 9"","""",""Segment 9 Description"","""",""Transaction Amount"",""124.85000"",""Transaction Date"","""&amp;"12/30/2024"",""Transaction Description"","""",""Vendor Name"",""ESPLIN, TAMMIE A."",""Vendor Number"",""927"",""Journal Entry"",""1580939"""</f>
        <v>"GP","Ute Indian Tribe Membership Fund","Jet GL Transactions","Account Category Description","Other Expenses","Account Category Number","42","Account Description","Fringe Benefits - Retirement","Account Index","2889","Account Number","5021-0-6120-0000","Credit Amount","0.00000","Debit Amount","124.85000","Document Date","1/1/1900","Document Number","DD000000000000139876","Document Sequence","311296","Period ID","3","Posting Type","Profit and Loss","Reference","Payroll Computer Checks","Row ID","5249515","Segment 1","5021","Segment 1 Description","Uinta River High School","Segment 10","","Segment 10 Description","","Segment 2","0","Segment 2 Description","","Segment 3","6120","Segment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Amount","124.85000","Transaction Date","12/30/2024","Transaction Description","","Vendor Name","ESPLIN, TAMMIE A.","Vendor Number","927","Journal Entry","1580939"</v>
      </c>
      <c r="L157" s="19">
        <v>45656</v>
      </c>
      <c r="M157">
        <v>1580939</v>
      </c>
      <c r="N157" t="str">
        <f t="shared" si="23"/>
        <v>Payroll Check</v>
      </c>
      <c r="O157" t="str">
        <f>"DD000000000000139876"</f>
        <v>DD000000000000139876</v>
      </c>
      <c r="P157" t="str">
        <f t="shared" si="24"/>
        <v>Payroll Computer Checks</v>
      </c>
      <c r="Q157" s="20" t="str">
        <f>""</f>
        <v/>
      </c>
      <c r="R157" s="21">
        <v>124.85</v>
      </c>
      <c r="S157" s="21">
        <v>0</v>
      </c>
      <c r="T157" s="22">
        <f t="shared" si="25"/>
        <v>124.85</v>
      </c>
    </row>
    <row r="158" spans="1:20" x14ac:dyDescent="0.25">
      <c r="A158" s="1" t="s">
        <v>25</v>
      </c>
      <c r="B158" s="17"/>
      <c r="C158" s="17"/>
      <c r="F158" s="17" t="e">
        <f>#REF!</f>
        <v>#REF!</v>
      </c>
      <c r="G158" s="17" t="e">
        <f>#REF!</f>
        <v>#REF!</v>
      </c>
      <c r="H158" s="18"/>
    </row>
    <row r="159" spans="1:20" x14ac:dyDescent="0.25">
      <c r="A159" s="1" t="s">
        <v>25</v>
      </c>
      <c r="I159" s="50" t="str">
        <f>I147&amp;"   "&amp;J147&amp;"         Total:"</f>
        <v>5021-0-6120-0000   Fringe Benefits - Retirement         Total:</v>
      </c>
      <c r="J159" s="50"/>
      <c r="K159" s="50"/>
      <c r="L159" s="50"/>
      <c r="M159" s="50"/>
      <c r="N159" s="50"/>
      <c r="O159" s="50"/>
      <c r="P159" s="50"/>
      <c r="Q159" s="50"/>
      <c r="R159" s="50"/>
      <c r="S159" s="50"/>
      <c r="T159" s="23">
        <f>SUBTOTAL(9,T148:T158)</f>
        <v>1647.9699999999998</v>
      </c>
    </row>
    <row r="160" spans="1:20" x14ac:dyDescent="0.25">
      <c r="A160" s="1" t="s">
        <v>25</v>
      </c>
    </row>
    <row r="161" spans="1:20" x14ac:dyDescent="0.25">
      <c r="A161" s="1" t="s">
        <v>25</v>
      </c>
    </row>
    <row r="162" spans="1:20" x14ac:dyDescent="0.25">
      <c r="A162" s="1" t="s">
        <v>25</v>
      </c>
      <c r="D162" s="1" t="str">
        <f>"||""Filter"",""Jet GL Transactions"",""Account Number"",""Transaction Date"",""10/1/2024..9/30/2025"",""Account Number"",""||""""Filter"""",""""Jet GL Transactions"""",""""Account Number"""",""""Segment 1"""",""""5021"""",""""Segment 2"""",""""*"""",""""Segment 4"""",""""0000|9050"""""""</f>
        <v>||"Filter","Jet GL Transactions","Account Number","Transaction Date","10/1/2024..9/30/2025","Account Number","||""Filter"",""Jet GL Transactions"",""Account Number"",""Segment 1"",""5021"",""Segment 2"",""*"",""Segment 4"",""0000|9050"""</v>
      </c>
      <c r="F162" s="1" t="str">
        <f>"5021-0-6160-0000"</f>
        <v>5021-0-6160-0000</v>
      </c>
      <c r="G162" s="1" t="str">
        <f>"5021-0-6160-0000"</f>
        <v>5021-0-6160-0000</v>
      </c>
      <c r="I162" s="15" t="str">
        <f>G162</f>
        <v>5021-0-6160-0000</v>
      </c>
      <c r="J162" s="15" t="str">
        <f>"Food"</f>
        <v>Food</v>
      </c>
      <c r="Q162" s="15"/>
      <c r="R162" s="16"/>
    </row>
    <row r="163" spans="1:20" x14ac:dyDescent="0.25">
      <c r="A163" s="1" t="s">
        <v>25</v>
      </c>
      <c r="B163" s="17"/>
      <c r="C163" s="17"/>
      <c r="F163" s="17" t="e">
        <f>#REF!</f>
        <v>#REF!</v>
      </c>
      <c r="G163" s="17" t="e">
        <f>#REF!</f>
        <v>#REF!</v>
      </c>
      <c r="H163" s="18"/>
      <c r="K163" t="str">
        <f>"""GP"",""Ute Indian Tribe Membership Fund"",""Jet GL Transactions"",""Account Category Description"",""Other Expenses"",""Account Category Number"",""42"",""Account Description"",""Food"",""Account Index"",""7845"",""Account Number"",""5021-0-6160-0000"",""Credit Amount"",""0.00000"","&amp;"""Debit Amount"",""644.60000"",""Document Date"",""1/1/1900"",""Document Number"",""22531714 110124"",""Document Sequence"",""32768"",""Period ID"",""2"",""Posting Type"",""Profit and Loss"",""Reference"",""Water"",""Row ID"",""5202025"",""Segment 1"",""5021"",""Segment 1 Description"",""Uinta"&amp;" River High School"",""Segment 10"","""",""Segment 10 Description"","""",""Segment 2"",""0"",""Segment 2 Description"","""",""Segment 3"",""6160"",""Segment 3 Description"","""",""Segment 4"",""0000"",""Segment 4 Description"","""",""Segment 5"","""",""Segment 5 Description"","""",""Segment 6"","""""&amp;",""Segment 6 Description"","""",""Segment 7"","""",""Segment 7 Description"","""",""Segment 8"","""",""Segment 8 Description"","""",""Segment 9"","""",""Segment 9 Description"","""",""Transaction Amount"",""644.60000"",""Transaction Date"",""11/1/2024"",""Transaction Description"",""Water"",""Ve"&amp;"ndor Name"",""DS SERVICES OF AMERICA, INC."",""Vendor Number"",""MT. OLYMPUS"",""Journal Entry"",""1573422"""</f>
        <v>"GP","Ute Indian Tribe Membership Fund","Jet GL Transactions","Account Category Description","Other Expenses","Account Category Number","42","Account Description","Food","Account Index","7845","Account Number","5021-0-6160-0000","Credit Amount","0.00000","Debit Amount","644.60000","Document Date","1/1/1900","Document Number","22531714 110124","Document Sequence","32768","Period ID","2","Posting Type","Profit and Loss","Reference","Water","Row ID","5202025","Segment 1","5021","Segment 1 Description","Uinta River High School","Segment 10","","Segment 10 Description","","Segment 2","0","Segment 2 Description","","Segment 3","6160","Segment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Amount","644.60000","Transaction Date","11/1/2024","Transaction Description","Water","Vendor Name","DS SERVICES OF AMERICA, INC.","Vendor Number","MT. OLYMPUS","Journal Entry","1573422"</v>
      </c>
      <c r="L163" s="19">
        <v>45597</v>
      </c>
      <c r="M163">
        <v>1573422</v>
      </c>
      <c r="N163" t="str">
        <f>"DS SERVICES OF AMERICA, INC."</f>
        <v>DS SERVICES OF AMERICA, INC.</v>
      </c>
      <c r="O163" t="str">
        <f>"22531714 110124"</f>
        <v>22531714 110124</v>
      </c>
      <c r="P163" t="str">
        <f>"Water"</f>
        <v>Water</v>
      </c>
      <c r="Q163" s="20" t="str">
        <f>"Water"</f>
        <v>Water</v>
      </c>
      <c r="R163" s="21">
        <v>644.6</v>
      </c>
      <c r="S163" s="21">
        <v>0</v>
      </c>
      <c r="T163" s="22">
        <f t="shared" ref="T163:T175" si="27">SUM(R163:S163)</f>
        <v>644.6</v>
      </c>
    </row>
    <row r="164" spans="1:20" x14ac:dyDescent="0.25">
      <c r="A164" s="1" t="s">
        <v>25</v>
      </c>
      <c r="B164" s="17"/>
      <c r="C164" s="17"/>
      <c r="F164" s="17" t="e">
        <f t="shared" ref="F164:G175" si="28">F163</f>
        <v>#REF!</v>
      </c>
      <c r="G164" s="17" t="e">
        <f t="shared" si="28"/>
        <v>#REF!</v>
      </c>
      <c r="H164" s="18"/>
      <c r="K164" t="str">
        <f>"""GP"",""Ute Indian Tribe Membership Fund"",""Jet GL Transactions"",""Account Category Description"",""Other Expenses"",""Account Category Number"",""42"",""Account Description"",""Food"",""Account Index"",""7845"",""Account Number"",""5021-0-6160-0000"",""Credit Amount"",""0.00000"","&amp;"""Debit Amount"",""52.37000"",""Document Date"",""1/1/1900"",""Document Number"",""03-190368"",""Document Sequence"",""32768"",""Period ID"",""2"",""Posting Type"",""Profit and Loss"",""Reference"",""Birthday supplies"",""Row ID"",""5195264"",""Segment 1"",""5021"",""Segment 1 Description"","""&amp;"Uinta River High School"",""Segment 10"","""",""Segment 10 Description"","""",""Segment 2"",""0"",""Segment 2 Description"","""",""Segment 3"",""6160"",""Segment 3 Description"","""",""Segment 4"",""0000"",""Segment 4 Description"","""",""Segment 5"","""",""Segment 5 Description"","""",""Segment "&amp;"6"","""",""Segment 6 Description"","""",""Segment 7"","""",""Segment 7 Description"","""",""Segment 8"","""",""Segment 8 Description"","""",""Segment 9"","""",""Segment 9 Description"","""",""Transaction Amount"",""52.37000"",""Transaction Date"",""11/4/2024"",""Transaction Description"",""Birthd"&amp;"ay supplies"",""Vendor Name"",""DAVIS JUBILEE  AKA IGA"",""Vendor Number"",""DAVIS JUBI01"",""Journal Entry"",""1571987"""</f>
        <v>"GP","Ute Indian Tribe Membership Fund","Jet GL Transactions","Account Category Description","Other Expenses","Account Category Number","42","Account Description","Food","Account Index","7845","Account Number","5021-0-6160-0000","Credit Amount","0.00000","Debit Amount","52.37000","Document Date","1/1/1900","Document Number","03-190368","Document Sequence","32768","Period ID","2","Posting Type","Profit and Loss","Reference","Birthday supplies","Row ID","5195264","Segment 1","5021","Segment 1 Description","Uinta River High School","Segment 10","","Segment 10 Description","","Segment 2","0","Segment 2 Description","","Segment 3","6160","Segment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Amount","52.37000","Transaction Date","11/4/2024","Transaction Description","Birthday supplies","Vendor Name","DAVIS JUBILEE  AKA IGA","Vendor Number","DAVIS JUBI01","Journal Entry","1571987"</v>
      </c>
      <c r="L164" s="19">
        <v>45600</v>
      </c>
      <c r="M164">
        <v>1571987</v>
      </c>
      <c r="N164" t="str">
        <f>"DAVIS JUBILEE  AKA IGA"</f>
        <v>DAVIS JUBILEE  AKA IGA</v>
      </c>
      <c r="O164" t="str">
        <f>"03-190368"</f>
        <v>03-190368</v>
      </c>
      <c r="P164" t="str">
        <f>"Birthday supplies"</f>
        <v>Birthday supplies</v>
      </c>
      <c r="Q164" s="20" t="str">
        <f>"Birthday supplies"</f>
        <v>Birthday supplies</v>
      </c>
      <c r="R164" s="21">
        <v>52.37</v>
      </c>
      <c r="S164" s="21">
        <v>0</v>
      </c>
      <c r="T164" s="22">
        <f t="shared" si="27"/>
        <v>52.37</v>
      </c>
    </row>
    <row r="165" spans="1:20" x14ac:dyDescent="0.25">
      <c r="A165" s="1" t="s">
        <v>25</v>
      </c>
      <c r="B165" s="17"/>
      <c r="C165" s="17"/>
      <c r="F165" s="17" t="e">
        <f t="shared" si="28"/>
        <v>#REF!</v>
      </c>
      <c r="G165" s="17" t="e">
        <f t="shared" si="28"/>
        <v>#REF!</v>
      </c>
      <c r="H165" s="18"/>
      <c r="K165" t="str">
        <f>"""GP"",""Ute Indian Tribe Membership Fund"",""Jet GL Transactions"",""Account Category Description"",""Other Expenses"",""Account Category Number"",""42"",""Account Description"",""Food"",""Account Index"",""7845"",""Account Number"",""5021-0-6160-0000"",""Credit Amount"",""0.00000"","&amp;"""Debit Amount"",""400.00000"",""Document Date"",""1/1/1900"",""Document Number"",""442461"",""Document Sequence"",""32768"",""Period ID"",""2"",""Posting Type"",""Profit and Loss"",""Reference"",""Indian Tacos"",""Row ID"",""5195268"",""Segment 1"",""5021"",""Segment 1 Description"",""Uinta R"&amp;"iver High School"",""Segment 10"","""",""Segment 10 Description"","""",""Segment 2"",""0"",""Segment 2 Description"","""",""Segment 3"",""6160"",""Segment 3 Description"","""",""Segment 4"",""0000"",""Segment 4 Description"","""",""Segment 5"","""",""Segment 5 Description"","""",""Segment 6"","""","""&amp;"Segment 6 Description"","""",""Segment 7"","""",""Segment 7 Description"","""",""Segment 8"","""",""Segment 8 Description"","""",""Segment 9"","""",""Segment 9 Description"","""",""Transaction Amount"",""400.00000"",""Transaction Date"",""11/6/2024"",""Transaction Description"",""Indian Tacos"&amp;""",""Vendor Name"",""Sela Kaufusi"",""Vendor Number"",""ZZ02798"",""Journal Entry"",""1571989"""</f>
        <v>"GP","Ute Indian Tribe Membership Fund","Jet GL Transactions","Account Category Description","Other Expenses","Account Category Number","42","Account Description","Food","Account Index","7845","Account Number","5021-0-6160-0000","Credit Amount","0.00000","Debit Amount","400.00000","Document Date","1/1/1900","Document Number","442461","Document Sequence","32768","Period ID","2","Posting Type","Profit and Loss","Reference","Indian Tacos","Row ID","5195268","Segment 1","5021","Segment 1 Description","Uinta River High School","Segment 10","","Segment 10 Description","","Segment 2","0","Segment 2 Description","","Segment 3","6160","Segment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Amount","400.00000","Transaction Date","11/6/2024","Transaction Description","Indian Tacos","Vendor Name","Sela Kaufusi","Vendor Number","ZZ02798","Journal Entry","1571989"</v>
      </c>
      <c r="L165" s="19">
        <v>45602</v>
      </c>
      <c r="M165">
        <v>1571989</v>
      </c>
      <c r="N165" t="str">
        <f>"Sela Kaufusi"</f>
        <v>Sela Kaufusi</v>
      </c>
      <c r="O165" t="str">
        <f>"442461"</f>
        <v>442461</v>
      </c>
      <c r="P165" t="str">
        <f>"Indian Tacos"</f>
        <v>Indian Tacos</v>
      </c>
      <c r="Q165" s="20" t="str">
        <f>"Indian Tacos"</f>
        <v>Indian Tacos</v>
      </c>
      <c r="R165" s="21">
        <v>400</v>
      </c>
      <c r="S165" s="21">
        <v>0</v>
      </c>
      <c r="T165" s="22">
        <f t="shared" si="27"/>
        <v>400</v>
      </c>
    </row>
    <row r="166" spans="1:20" x14ac:dyDescent="0.25">
      <c r="A166" s="1" t="s">
        <v>25</v>
      </c>
      <c r="B166" s="17"/>
      <c r="C166" s="17"/>
      <c r="F166" s="17" t="e">
        <f t="shared" si="28"/>
        <v>#REF!</v>
      </c>
      <c r="G166" s="17" t="e">
        <f t="shared" si="28"/>
        <v>#REF!</v>
      </c>
      <c r="H166" s="18"/>
      <c r="K166" t="str">
        <f>"""GP"",""Ute Indian Tribe Membership Fund"",""Jet GL Transactions"",""Account Category Description"",""Other Expenses"",""Account Category Number"",""42"",""Account Description"",""Food"",""Account Index"",""7845"",""Account Number"",""5021-0-6160-0000"",""Credit Amount"",""0.00000"","&amp;"""Debit Amount"",""45.48000"",""Document Date"",""1/1/1900"",""Document Number"",""5052986"",""Document Sequence"",""32768"",""Period ID"",""2"",""Posting Type"",""Profit and Loss"",""Reference"",""Volleyball team meal"",""Row ID"",""5202051"",""Segment 1"",""5021"",""Segment 1 Description"","&amp;"""Uinta River High School"",""Segment 10"","""",""Segment 10 Description"","""",""Segment 2"",""0"",""Segment 2 Description"","""",""Segment 3"",""6160"",""Segment 3 Description"","""",""Segment 4"",""0000"",""Segment 4 Description"","""",""Segment 5"","""",""Segment 5 Description"","""",""Segment"&amp;" 6"","""",""Segment 6 Description"","""",""Segment 7"","""",""Segment 7 Description"","""",""Segment 8"","""",""Segment 8 Description"","""",""Segment 9"","""",""Segment 9 Description"","""",""Transaction Amount"",""45.48000"",""Transaction Date"",""11/8/2024"",""Transaction Description"",""Volle"&amp;"yball team meal"",""Vendor Name"",""Benjamin Fagnant"",""Vendor Number"",""FAGNANT, BEN"",""Journal Entry"",""1573433"""</f>
        <v>"GP","Ute Indian Tribe Membership Fund","Jet GL Transactions","Account Category Description","Other Expenses","Account Category Number","42","Account Description","Food","Account Index","7845","Account Number","5021-0-6160-0000","Credit Amount","0.00000","Debit Amount","45.48000","Document Date","1/1/1900","Document Number","5052986","Document Sequence","32768","Period ID","2","Posting Type","Profit and Loss","Reference","Volleyball team meal","Row ID","5202051","Segment 1","5021","Segment 1 Description","Uinta River High School","Segment 10","","Segment 10 Description","","Segment 2","0","Segment 2 Description","","Segment 3","6160","Segment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Amount","45.48000","Transaction Date","11/8/2024","Transaction Description","Volleyball team meal","Vendor Name","Benjamin Fagnant","Vendor Number","FAGNANT, BEN","Journal Entry","1573433"</v>
      </c>
      <c r="L166" s="19">
        <v>45604</v>
      </c>
      <c r="M166">
        <v>1573433</v>
      </c>
      <c r="N166" t="str">
        <f>"Benjamin Fagnant"</f>
        <v>Benjamin Fagnant</v>
      </c>
      <c r="O166" t="str">
        <f>"5052986"</f>
        <v>5052986</v>
      </c>
      <c r="P166" t="str">
        <f>"Volleyball team meal"</f>
        <v>Volleyball team meal</v>
      </c>
      <c r="Q166" s="20" t="str">
        <f>"Volleyball team meal"</f>
        <v>Volleyball team meal</v>
      </c>
      <c r="R166" s="21">
        <v>45.48</v>
      </c>
      <c r="S166" s="21">
        <v>0</v>
      </c>
      <c r="T166" s="22">
        <f t="shared" si="27"/>
        <v>45.48</v>
      </c>
    </row>
    <row r="167" spans="1:20" x14ac:dyDescent="0.25">
      <c r="A167" s="1" t="s">
        <v>25</v>
      </c>
      <c r="B167" s="17"/>
      <c r="C167" s="17"/>
      <c r="F167" s="17" t="e">
        <f t="shared" si="28"/>
        <v>#REF!</v>
      </c>
      <c r="G167" s="17" t="e">
        <f t="shared" si="28"/>
        <v>#REF!</v>
      </c>
      <c r="H167" s="18"/>
      <c r="K167" t="str">
        <f>"""GP"",""Ute Indian Tribe Membership Fund"",""Jet GL Transactions"",""Account Category Description"",""Other Expenses"",""Account Category Number"",""42"",""Account Description"",""Food"",""Account Index"",""7845"",""Account Number"",""5021-0-6160-0000"",""Credit Amount"",""0.00000"","&amp;"""Debit Amount"",""1080.00000"",""Document Date"",""1/1/1900"",""Document Number"",""11/12/2024"",""Document Sequence"",""32768"",""Period ID"",""2"",""Posting Type"",""Profit and Loss"",""Reference"",""Native culture week meal"",""Row ID"",""5202023"",""Segment 1"",""5021"",""Segment 1 Desc"&amp;"ription"",""Uinta River High School"",""Segment 10"","""",""Segment 10 Description"","""",""Segment 2"",""0"",""Segment 2 Description"","""",""Segment 3"",""6160"",""Segment 3 Description"","""",""Segment 4"",""0000"",""Segment 4 Description"","""",""Segment 5"","""",""Segment 5 Description"","""""&amp;",""Segment 6"","""",""Segment 6 Description"","""",""Segment 7"","""",""Segment 7 Description"","""",""Segment 8"","""",""Segment 8 Description"","""",""Segment 9"","""",""Segment 9 Description"","""",""Transaction Amount"",""1080.00000"",""Transaction Date"",""11/12/2024"",""Transaction Descrip"&amp;"tion"",""Native culture week meal"",""Vendor Name"",""CLAUDIA URIBE"",""Vendor Number"",""CLAUDIA'S KITCH"",""Journal Entry"",""1573421"""</f>
        <v>"GP","Ute Indian Tribe Membership Fund","Jet GL Transactions","Account Category Description","Other Expenses","Account Category Number","42","Account Description","Food","Account Index","7845","Account Number","5021-0-6160-0000","Credit Amount","0.00000","Debit Amount","1080.00000","Document Date","1/1/1900","Document Number","11/12/2024","Document Sequence","32768","Period ID","2","Posting Type","Profit and Loss","Reference","Native culture week meal","Row ID","5202023","Segment 1","5021","Segment 1 Description","Uinta River High School","Segment 10","","Segment 10 Description","","Segment 2","0","Segment 2 Description","","Segment 3","6160","Segment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Amount","1080.00000","Transaction Date","11/12/2024","Transaction Description","Native culture week meal","Vendor Name","CLAUDIA URIBE","Vendor Number","CLAUDIA'S KITCH","Journal Entry","1573421"</v>
      </c>
      <c r="L167" s="19">
        <v>45608</v>
      </c>
      <c r="M167">
        <v>1573421</v>
      </c>
      <c r="N167" t="str">
        <f>"CLAUDIA URIBE"</f>
        <v>CLAUDIA URIBE</v>
      </c>
      <c r="O167" t="str">
        <f>"11/12/2024"</f>
        <v>11/12/2024</v>
      </c>
      <c r="P167" t="str">
        <f>"Native culture week meal"</f>
        <v>Native culture week meal</v>
      </c>
      <c r="Q167" s="20" t="str">
        <f>"Native culture week meal"</f>
        <v>Native culture week meal</v>
      </c>
      <c r="R167" s="21">
        <v>1080</v>
      </c>
      <c r="S167" s="21">
        <v>0</v>
      </c>
      <c r="T167" s="22">
        <f t="shared" si="27"/>
        <v>1080</v>
      </c>
    </row>
    <row r="168" spans="1:20" x14ac:dyDescent="0.25">
      <c r="A168" s="1" t="s">
        <v>25</v>
      </c>
      <c r="B168" s="17"/>
      <c r="C168" s="17"/>
      <c r="F168" s="17" t="e">
        <f t="shared" si="28"/>
        <v>#REF!</v>
      </c>
      <c r="G168" s="17" t="e">
        <f t="shared" si="28"/>
        <v>#REF!</v>
      </c>
      <c r="H168" s="18"/>
      <c r="K168" t="str">
        <f>"""GP"",""Ute Indian Tribe Membership Fund"",""Jet GL Transactions"",""Account Category Description"",""Other Expenses"",""Account Category Number"",""42"",""Account Description"",""Food"",""Account Index"",""7845"",""Account Number"",""5021-0-6160-0000"",""Credit Amount"",""0.00000"","&amp;"""Debit Amount"",""1188.00000"",""Document Date"",""1/1/1900"",""Document Number"",""12/12/2024"",""Document Sequence"",""32768"",""Period ID"",""2"",""Posting Type"",""Profit and Loss"",""Reference"",""URHS Christmas Dinner"",""Row ID"",""5213900"",""Segment 1"",""5021"",""Segment 1 Descrip"&amp;"tion"",""Uinta River High School"",""Segment 10"","""",""Segment 10 Description"","""",""Segment 2"",""0"",""Segment 2 Description"","""",""Segment 3"",""6160"",""Segment 3 Description"","""",""Segment 4"",""0000"",""Segment 4 Description"","""",""Segment 5"","""",""Segment 5 Description"","""",""S"&amp;"egment 6"","""",""Segment 6 Description"","""",""Segment 7"","""",""Segment 7 Description"","""",""Segment 8"","""",""Segment 8 Description"","""",""Segment 9"","""",""Segment 9 Description"","""",""Transaction Amount"",""1188.00000"",""Transaction Date"",""11/19/2024"",""Transaction Descriptio"&amp;"n"",""URHS Christmas Dinner"",""Vendor Name"",""THE BAREFOOT BAKER"",""Vendor Number"",""BAREFOOT BAKER"",""Journal Entry"",""1575507"""</f>
        <v>"GP","Ute Indian Tribe Membership Fund","Jet GL Transactions","Account Category Description","Other Expenses","Account Category Number","42","Account Description","Food","Account Index","7845","Account Number","5021-0-6160-0000","Credit Amount","0.00000","Debit Amount","1188.00000","Document Date","1/1/1900","Document Number","12/12/2024","Document Sequence","32768","Period ID","2","Posting Type","Profit and Loss","Reference","URHS Christmas Dinner","Row ID","5213900","Segment 1","5021","Segment 1 Description","Uinta River High School","Segment 10","","Segment 10 Description","","Segment 2","0","Segment 2 Description","","Segment 3","6160","Segment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Amount","1188.00000","Transaction Date","11/19/2024","Transaction Description","URHS Christmas Dinner","Vendor Name","THE BAREFOOT BAKER","Vendor Number","BAREFOOT BAKER","Journal Entry","1575507"</v>
      </c>
      <c r="L168" s="19">
        <v>45615</v>
      </c>
      <c r="M168">
        <v>1575507</v>
      </c>
      <c r="N168" t="str">
        <f>"THE BAREFOOT BAKER"</f>
        <v>THE BAREFOOT BAKER</v>
      </c>
      <c r="O168" t="str">
        <f>"12/12/2024"</f>
        <v>12/12/2024</v>
      </c>
      <c r="P168" t="str">
        <f>"URHS Christmas Dinner"</f>
        <v>URHS Christmas Dinner</v>
      </c>
      <c r="Q168" s="20" t="str">
        <f>"URHS Christmas Dinner"</f>
        <v>URHS Christmas Dinner</v>
      </c>
      <c r="R168" s="21">
        <v>1188</v>
      </c>
      <c r="S168" s="21">
        <v>0</v>
      </c>
      <c r="T168" s="22">
        <f t="shared" si="27"/>
        <v>1188</v>
      </c>
    </row>
    <row r="169" spans="1:20" x14ac:dyDescent="0.25">
      <c r="A169" s="1" t="s">
        <v>25</v>
      </c>
      <c r="B169" s="17"/>
      <c r="C169" s="17"/>
      <c r="F169" s="17" t="e">
        <f t="shared" si="28"/>
        <v>#REF!</v>
      </c>
      <c r="G169" s="17" t="e">
        <f t="shared" si="28"/>
        <v>#REF!</v>
      </c>
      <c r="H169" s="18"/>
      <c r="K169" t="str">
        <f>"""GP"",""Ute Indian Tribe Membership Fund"",""Jet GL Transactions"",""Account Category Description"",""Other Expenses"",""Account Category Number"",""42"",""Account Description"",""Food"",""Account Index"",""7845"",""Account Number"",""5021-0-6160-0000"",""Credit Amount"",""0.00000"","&amp;"""Debit Amount"",""438.08000"",""Document Date"",""1/1/1900"",""Document Number"",""07980C"",""Document Sequence"",""32768"",""Period ID"",""2"",""Posting Type"",""Profit and Loss"",""Reference"",""Athletic team meal"",""Row ID"",""5215231"",""Segment 1"",""5021"",""Segment 1 Description"",""U"&amp;"inta River High School"",""Segment 10"","""",""Segment 10 Description"","""",""Segment 2"",""0"",""Segment 2 Description"","""",""Segment 3"",""6160"",""Segment 3 Description"","""",""Segment 4"",""0000"",""Segment 4 Description"","""",""Segment 5"","""",""Segment 5 Description"","""",""Segment 6"&amp;""","""",""Segment 6 Description"","""",""Segment 7"","""",""Segment 7 Description"","""",""Segment 8"","""",""Segment 8 Description"","""",""Segment 9"","""",""Segment 9 Description"","""",""Transaction Amount"",""438.08000"",""Transaction Date"",""11/23/2024"",""Transaction Description"",""Athle"&amp;"tic team meal"",""Vendor Name"",""Brittany A. Luck"",""Vendor Number"",""LUCK, BRITTANY"",""Journal Entry"",""1576179"""</f>
        <v>"GP","Ute Indian Tribe Membership Fund","Jet GL Transactions","Account Category Description","Other Expenses","Account Category Number","42","Account Description","Food","Account Index","7845","Account Number","5021-0-6160-0000","Credit Amount","0.00000","Debit Amount","438.08000","Document Date","1/1/1900","Document Number","07980C","Document Sequence","32768","Period ID","2","Posting Type","Profit and Loss","Reference","Athletic team meal","Row ID","5215231","Segment 1","5021","Segment 1 Description","Uinta River High School","Segment 10","","Segment 10 Description","","Segment 2","0","Segment 2 Description","","Segment 3","6160","Segment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Amount","438.08000","Transaction Date","11/23/2024","Transaction Description","Athletic team meal","Vendor Name","Brittany A. Luck","Vendor Number","LUCK, BRITTANY","Journal Entry","1576179"</v>
      </c>
      <c r="L169" s="19">
        <v>45619</v>
      </c>
      <c r="M169">
        <v>1576179</v>
      </c>
      <c r="N169" t="str">
        <f>"Brittany A. Luck"</f>
        <v>Brittany A. Luck</v>
      </c>
      <c r="O169" t="str">
        <f>"07980C"</f>
        <v>07980C</v>
      </c>
      <c r="P169" t="str">
        <f>"Athletic team meal"</f>
        <v>Athletic team meal</v>
      </c>
      <c r="Q169" s="20" t="str">
        <f>"Athletic team meal"</f>
        <v>Athletic team meal</v>
      </c>
      <c r="R169" s="21">
        <v>438.08</v>
      </c>
      <c r="S169" s="21">
        <v>0</v>
      </c>
      <c r="T169" s="22">
        <f t="shared" si="27"/>
        <v>438.08</v>
      </c>
    </row>
    <row r="170" spans="1:20" x14ac:dyDescent="0.25">
      <c r="A170" s="1" t="s">
        <v>25</v>
      </c>
      <c r="B170" s="17"/>
      <c r="C170" s="17"/>
      <c r="F170" s="17" t="e">
        <f t="shared" si="28"/>
        <v>#REF!</v>
      </c>
      <c r="G170" s="17" t="e">
        <f t="shared" si="28"/>
        <v>#REF!</v>
      </c>
      <c r="H170" s="18"/>
      <c r="K170" t="str">
        <f>"""GP"",""Ute Indian Tribe Membership Fund"",""Jet GL Transactions"",""Account Category Description"",""Other Expenses"",""Account Category Number"",""42"",""Account Description"",""Food"",""Account Index"",""7845"",""Account Number"",""5021-0-6160-0000"",""Credit Amount"",""0.00000"","&amp;"""Debit Amount"",""466.19000"",""Document Date"",""1/1/1900"",""Document Number"",""22531714 112924"",""Document Sequence"",""32768"",""Period ID"",""2"",""Posting Type"",""Profit and Loss"",""Reference"",""Water"",""Row ID"",""5229104"",""Segment 1"",""5021"",""Segment 1 Description"",""Uinta"&amp;" River High School"",""Segment 10"","""",""Segment 10 Description"","""",""Segment 2"",""0"",""Segment 2 Description"","""",""Segment 3"",""6160"",""Segment 3 Description"","""",""Segment 4"",""0000"",""Segment 4 Description"","""",""Segment 5"","""",""Segment 5 Description"","""",""Segment 6"","""""&amp;",""Segment 6 Description"","""",""Segment 7"","""",""Segment 7 Description"","""",""Segment 8"","""",""Segment 8 Description"","""",""Segment 9"","""",""Segment 9 Description"","""",""Transaction Amount"",""466.19000"",""Transaction Date"",""11/29/2024"",""Transaction Description"",""Water"",""V"&amp;"endor Name"",""DS SERVICES OF AMERICA, INC."",""Vendor Number"",""MT. OLYMPUS"",""Journal Entry"",""1578169"""</f>
        <v>"GP","Ute Indian Tribe Membership Fund","Jet GL Transactions","Account Category Description","Other Expenses","Account Category Number","42","Account Description","Food","Account Index","7845","Account Number","5021-0-6160-0000","Credit Amount","0.00000","Debit Amount","466.19000","Document Date","1/1/1900","Document Number","22531714 112924","Document Sequence","32768","Period ID","2","Posting Type","Profit and Loss","Reference","Water","Row ID","5229104","Segment 1","5021","Segment 1 Description","Uinta River High School","Segment 10","","Segment 10 Description","","Segment 2","0","Segment 2 Description","","Segment 3","6160","Segment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Amount","466.19000","Transaction Date","11/29/2024","Transaction Description","Water","Vendor Name","DS SERVICES OF AMERICA, INC.","Vendor Number","MT. OLYMPUS","Journal Entry","1578169"</v>
      </c>
      <c r="L170" s="19">
        <v>45625</v>
      </c>
      <c r="M170">
        <v>1578169</v>
      </c>
      <c r="N170" t="str">
        <f>"DS SERVICES OF AMERICA, INC."</f>
        <v>DS SERVICES OF AMERICA, INC.</v>
      </c>
      <c r="O170" t="str">
        <f>"22531714 112924"</f>
        <v>22531714 112924</v>
      </c>
      <c r="P170" t="str">
        <f>"Water"</f>
        <v>Water</v>
      </c>
      <c r="Q170" s="20" t="str">
        <f>"Water"</f>
        <v>Water</v>
      </c>
      <c r="R170" s="21">
        <v>466.19</v>
      </c>
      <c r="S170" s="21">
        <v>0</v>
      </c>
      <c r="T170" s="22">
        <f t="shared" si="27"/>
        <v>466.19</v>
      </c>
    </row>
    <row r="171" spans="1:20" x14ac:dyDescent="0.25">
      <c r="A171" s="1" t="s">
        <v>25</v>
      </c>
      <c r="B171" s="17"/>
      <c r="C171" s="17"/>
      <c r="F171" s="17" t="e">
        <f t="shared" si="28"/>
        <v>#REF!</v>
      </c>
      <c r="G171" s="17" t="e">
        <f t="shared" si="28"/>
        <v>#REF!</v>
      </c>
      <c r="H171" s="18"/>
      <c r="K171" t="str">
        <f>"""GP"",""Ute Indian Tribe Membership Fund"",""Jet GL Transactions"",""Account Category Description"",""Other Expenses"",""Account Category Number"",""42"",""Account Description"",""Food"",""Account Index"",""7845"",""Account Number"",""5021-0-6160-0000"",""Credit Amount"",""0.00000"","&amp;"""Debit Amount"",""10.29000"",""Document Date"",""1/1/1900"",""Document Number"",""01-459509"",""Document Sequence"",""32768"",""Period ID"",""3"",""Posting Type"",""Profit and Loss"",""Reference"",""Food"",""Row ID"",""5225250"",""Segment 1"",""5021"",""Segment 1 Description"",""Uinta River H"&amp;"igh School"",""Segment 10"","""",""Segment 10 Description"","""",""Segment 2"",""0"",""Segment 2 Description"","""",""Segment 3"",""6160"",""Segment 3 Description"","""",""Segment 4"",""0000"",""Segment 4 Description"","""",""Segment 5"","""",""Segment 5 Description"","""",""Segment 6"","""",""Segmen"&amp;"t 6 Description"","""",""Segment 7"","""",""Segment 7 Description"","""",""Segment 8"","""",""Segment 8 Description"","""",""Segment 9"","""",""Segment 9 Description"","""",""Transaction Amount"",""10.29000"",""Transaction Date"",""12/2/2024"",""Transaction Description"",""Food"",""Vendor Name"""&amp;",""DAVIS JUBILEE  AKA IGA"",""Vendor Number"",""DAVIS JUBI01"",""Journal Entry"",""1577181"""</f>
        <v>"GP","Ute Indian Tribe Membership Fund","Jet GL Transactions","Account Category Description","Other Expenses","Account Category Number","42","Account Description","Food","Account Index","7845","Account Number","5021-0-6160-0000","Credit Amount","0.00000","Debit Amount","10.29000","Document Date","1/1/1900","Document Number","01-459509","Document Sequence","32768","Period ID","3","Posting Type","Profit and Loss","Reference","Food","Row ID","5225250","Segment 1","5021","Segment 1 Description","Uinta River High School","Segment 10","","Segment 10 Description","","Segment 2","0","Segment 2 Description","","Segment 3","6160","Segment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Amount","10.29000","Transaction Date","12/2/2024","Transaction Description","Food","Vendor Name","DAVIS JUBILEE  AKA IGA","Vendor Number","DAVIS JUBI01","Journal Entry","1577181"</v>
      </c>
      <c r="L171" s="19">
        <v>45628</v>
      </c>
      <c r="M171">
        <v>1577181</v>
      </c>
      <c r="N171" t="str">
        <f>"DAVIS JUBILEE  AKA IGA"</f>
        <v>DAVIS JUBILEE  AKA IGA</v>
      </c>
      <c r="O171" t="str">
        <f>"01-459509"</f>
        <v>01-459509</v>
      </c>
      <c r="P171" t="str">
        <f>"Food"</f>
        <v>Food</v>
      </c>
      <c r="Q171" s="20" t="str">
        <f>"Food"</f>
        <v>Food</v>
      </c>
      <c r="R171" s="21">
        <v>10.29</v>
      </c>
      <c r="S171" s="21">
        <v>0</v>
      </c>
      <c r="T171" s="22">
        <f t="shared" si="27"/>
        <v>10.29</v>
      </c>
    </row>
    <row r="172" spans="1:20" x14ac:dyDescent="0.25">
      <c r="A172" s="1" t="s">
        <v>25</v>
      </c>
      <c r="B172" s="17"/>
      <c r="C172" s="17"/>
      <c r="F172" s="17" t="e">
        <f t="shared" si="28"/>
        <v>#REF!</v>
      </c>
      <c r="G172" s="17" t="e">
        <f t="shared" si="28"/>
        <v>#REF!</v>
      </c>
      <c r="H172" s="18"/>
      <c r="K172" t="str">
        <f>"""GP"",""Ute Indian Tribe Membership Fund"",""Jet GL Transactions"",""Account Category Description"",""Other Expenses"",""Account Category Number"",""42"",""Account Description"",""Food"",""Account Index"",""7845"",""Account Number"",""5021-0-6160-0000"",""Credit Amount"",""0.00000"","&amp;"""Debit Amount"",""16.38000"",""Document Date"",""1/1/1900"",""Document Number"",""01-459649"",""Document Sequence"",""32768"",""Period ID"",""3"",""Posting Type"",""Profit and Loss"",""Reference"",""Food"",""Row ID"",""5225248"",""Segment 1"",""5021"",""Segment 1 Description"",""Uinta River H"&amp;"igh School"",""Segment 10"","""",""Segment 10 Description"","""",""Segment 2"",""0"",""Segment 2 Description"","""",""Segment 3"",""6160"",""Segment 3 Description"","""",""Segment 4"",""0000"",""Segment 4 Description"","""",""Segment 5"","""",""Segment 5 Description"","""",""Segment 6"","""",""Segmen"&amp;"t 6 Description"","""",""Segment 7"","""",""Segment 7 Description"","""",""Segment 8"","""",""Segment 8 Description"","""",""Segment 9"","""",""Segment 9 Description"","""",""Transaction Amount"",""16.38000"",""Transaction Date"",""12/2/2024"",""Transaction Description"",""Food"",""Vendor Name"""&amp;",""DAVIS JUBILEE  AKA IGA"",""Vendor Number"",""DAVIS JUBI01"",""Journal Entry"",""1577180"""</f>
        <v>"GP","Ute Indian Tribe Membership Fund","Jet GL Transactions","Account Category Description","Other Expenses","Account Category Number","42","Account Description","Food","Account Index","7845","Account Number","5021-0-6160-0000","Credit Amount","0.00000","Debit Amount","16.38000","Document Date","1/1/1900","Document Number","01-459649","Document Sequence","32768","Period ID","3","Posting Type","Profit and Loss","Reference","Food","Row ID","5225248","Segment 1","5021","Segment 1 Description","Uinta River High School","Segment 10","","Segment 10 Description","","Segment 2","0","Segment 2 Description","","Segment 3","6160","Segment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Amount","16.38000","Transaction Date","12/2/2024","Transaction Description","Food","Vendor Name","DAVIS JUBILEE  AKA IGA","Vendor Number","DAVIS JUBI01","Journal Entry","1577180"</v>
      </c>
      <c r="L172" s="19">
        <v>45628</v>
      </c>
      <c r="M172">
        <v>1577180</v>
      </c>
      <c r="N172" t="str">
        <f>"DAVIS JUBILEE  AKA IGA"</f>
        <v>DAVIS JUBILEE  AKA IGA</v>
      </c>
      <c r="O172" t="str">
        <f>"01-459649"</f>
        <v>01-459649</v>
      </c>
      <c r="P172" t="str">
        <f>"Food"</f>
        <v>Food</v>
      </c>
      <c r="Q172" s="20" t="str">
        <f>"Food"</f>
        <v>Food</v>
      </c>
      <c r="R172" s="21">
        <v>16.38</v>
      </c>
      <c r="S172" s="21">
        <v>0</v>
      </c>
      <c r="T172" s="22">
        <f t="shared" si="27"/>
        <v>16.38</v>
      </c>
    </row>
    <row r="173" spans="1:20" x14ac:dyDescent="0.25">
      <c r="A173" s="1" t="s">
        <v>25</v>
      </c>
      <c r="B173" s="17"/>
      <c r="C173" s="17"/>
      <c r="F173" s="17" t="e">
        <f t="shared" si="28"/>
        <v>#REF!</v>
      </c>
      <c r="G173" s="17" t="e">
        <f t="shared" si="28"/>
        <v>#REF!</v>
      </c>
      <c r="H173" s="18"/>
      <c r="K173" t="str">
        <f>"""GP"",""Ute Indian Tribe Membership Fund"",""Jet GL Transactions"",""Account Category Description"",""Other Expenses"",""Account Category Number"",""42"",""Account Description"",""Food"",""Account Index"",""7845"",""Account Number"",""5021-0-6160-0000"",""Credit Amount"",""0.00000"","&amp;"""Debit Amount"",""279.06000"",""Document Date"",""1/1/1900"",""Document Number"",""074001"",""Document Sequence"",""32768"",""Period ID"",""3"",""Posting Type"",""Profit and Loss"",""Reference"",""Sports team meals"",""Row ID"",""5232183"",""Segment 1"",""5021"",""Segment 1 Description"",""Ui"&amp;"nta River High School"",""Segment 10"","""",""Segment 10 Description"","""",""Segment 2"",""0"",""Segment 2 Description"","""",""Segment 3"",""6160"",""Segment 3 Description"","""",""Segment 4"",""0000"",""Segment 4 Description"","""",""Segment 5"","""",""Segment 5 Description"","""",""Segment 6"""&amp;","""",""Segment 6 Description"","""",""Segment 7"","""",""Segment 7 Description"","""",""Segment 8"","""",""Segment 8 Description"","""",""Segment 9"","""",""Segment 9 Description"","""",""Transaction Amount"",""279.06000"",""Transaction Date"",""12/9/2024"",""Transaction Description"",""Sports "&amp;"team meals"",""Vendor Name"",""Brittany A. Luck"",""Vendor Number"",""LUCK, BRITTANY"",""Journal Entry"",""1579036"""</f>
        <v>"GP","Ute Indian Tribe Membership Fund","Jet GL Transactions","Account Category Description","Other Expenses","Account Category Number","42","Account Description","Food","Account Index","7845","Account Number","5021-0-6160-0000","Credit Amount","0.00000","Debit Amount","279.06000","Document Date","1/1/1900","Document Number","074001","Document Sequence","32768","Period ID","3","Posting Type","Profit and Loss","Reference","Sports team meals","Row ID","5232183","Segment 1","5021","Segment 1 Description","Uinta River High School","Segment 10","","Segment 10 Description","","Segment 2","0","Segment 2 Description","","Segment 3","6160","Segment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Amount","279.06000","Transaction Date","12/9/2024","Transaction Description","Sports team meals","Vendor Name","Brittany A. Luck","Vendor Number","LUCK, BRITTANY","Journal Entry","1579036"</v>
      </c>
      <c r="L173" s="19">
        <v>45635</v>
      </c>
      <c r="M173">
        <v>1579036</v>
      </c>
      <c r="N173" t="str">
        <f>"Brittany A. Luck"</f>
        <v>Brittany A. Luck</v>
      </c>
      <c r="O173" t="str">
        <f>"074001"</f>
        <v>074001</v>
      </c>
      <c r="P173" t="str">
        <f>"Sports team meals"</f>
        <v>Sports team meals</v>
      </c>
      <c r="Q173" s="20" t="str">
        <f>"Sports team meals"</f>
        <v>Sports team meals</v>
      </c>
      <c r="R173" s="21">
        <v>279.06</v>
      </c>
      <c r="S173" s="21">
        <v>0</v>
      </c>
      <c r="T173" s="22">
        <f t="shared" si="27"/>
        <v>279.06</v>
      </c>
    </row>
    <row r="174" spans="1:20" x14ac:dyDescent="0.25">
      <c r="A174" s="1" t="s">
        <v>25</v>
      </c>
      <c r="B174" s="17"/>
      <c r="C174" s="17"/>
      <c r="F174" s="17" t="e">
        <f t="shared" si="28"/>
        <v>#REF!</v>
      </c>
      <c r="G174" s="17" t="e">
        <f t="shared" si="28"/>
        <v>#REF!</v>
      </c>
      <c r="H174" s="18"/>
      <c r="K174" t="str">
        <f>"""GP"",""Ute Indian Tribe Membership Fund"",""Jet GL Transactions"",""Account Category Description"",""Other Expenses"",""Account Category Number"",""42"",""Account Description"",""Food"",""Account Index"",""7845"",""Account Number"",""5021-0-6160-0000"",""Credit Amount"",""0.00000"","&amp;"""Debit Amount"",""312.91000"",""Document Date"",""1/1/1900"",""Document Number"",""10115"",""Document Sequence"",""32768"",""Period ID"",""3"",""Posting Type"",""Profit and Loss"",""Reference"",""Sports team meals"",""Row ID"",""5232185"",""Segment 1"",""5021"",""Segment 1 Description"",""Uin"&amp;"ta River High School"",""Segment 10"","""",""Segment 10 Description"","""",""Segment 2"",""0"",""Segment 2 Description"","""",""Segment 3"",""6160"",""Segment 3 Description"","""",""Segment 4"",""0000"",""Segment 4 Description"","""",""Segment 5"","""",""Segment 5 Description"","""",""Segment 6"","&amp;""""",""Segment 6 Description"","""",""Segment 7"","""",""Segment 7 Description"","""",""Segment 8"","""",""Segment 8 Description"","""",""Segment 9"","""",""Segment 9 Description"","""",""Transaction Amount"",""312.91000"",""Transaction Date"",""12/11/2024"",""Transaction Description"",""Sports "&amp;"team meals"",""Vendor Name"",""Brittany A. Luck"",""Vendor Number"",""LUCK, BRITTANY"",""Journal Entry"",""1579037"""</f>
        <v>"GP","Ute Indian Tribe Membership Fund","Jet GL Transactions","Account Category Description","Other Expenses","Account Category Number","42","Account Description","Food","Account Index","7845","Account Number","5021-0-6160-0000","Credit Amount","0.00000","Debit Amount","312.91000","Document Date","1/1/1900","Document Number","10115","Document Sequence","32768","Period ID","3","Posting Type","Profit and Loss","Reference","Sports team meals","Row ID","5232185","Segment 1","5021","Segment 1 Description","Uinta River High School","Segment 10","","Segment 10 Description","","Segment 2","0","Segment 2 Description","","Segment 3","6160","Segment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Amount","312.91000","Transaction Date","12/11/2024","Transaction Description","Sports team meals","Vendor Name","Brittany A. Luck","Vendor Number","LUCK, BRITTANY","Journal Entry","1579037"</v>
      </c>
      <c r="L174" s="19">
        <v>45637</v>
      </c>
      <c r="M174">
        <v>1579037</v>
      </c>
      <c r="N174" t="str">
        <f>"Brittany A. Luck"</f>
        <v>Brittany A. Luck</v>
      </c>
      <c r="O174" t="str">
        <f>"10115"</f>
        <v>10115</v>
      </c>
      <c r="P174" t="str">
        <f>"Sports team meals"</f>
        <v>Sports team meals</v>
      </c>
      <c r="Q174" s="20" t="str">
        <f>"Sports team meals"</f>
        <v>Sports team meals</v>
      </c>
      <c r="R174" s="21">
        <v>312.91000000000003</v>
      </c>
      <c r="S174" s="21">
        <v>0</v>
      </c>
      <c r="T174" s="22">
        <f t="shared" si="27"/>
        <v>312.91000000000003</v>
      </c>
    </row>
    <row r="175" spans="1:20" x14ac:dyDescent="0.25">
      <c r="A175" s="1" t="s">
        <v>25</v>
      </c>
      <c r="B175" s="17"/>
      <c r="C175" s="17"/>
      <c r="F175" s="17" t="e">
        <f t="shared" si="28"/>
        <v>#REF!</v>
      </c>
      <c r="G175" s="17" t="e">
        <f t="shared" si="28"/>
        <v>#REF!</v>
      </c>
      <c r="H175" s="18"/>
      <c r="K175" t="str">
        <f>"""GP"",""Ute Indian Tribe Membership Fund"",""Jet GL Transactions"",""Account Category Description"",""Other Expenses"",""Account Category Number"",""42"",""Account Description"",""Food"",""Account Index"",""7845"",""Account Number"",""5021-0-6160-0000"",""Credit Amount"",""0.00000"","&amp;"""Debit Amount"",""67.35000"",""Document Date"",""1/1/1900"",""Document Number"",""02-142098"",""Document Sequence"",""32768"",""Period ID"",""3"",""Posting Type"",""Profit and Loss"",""Reference"",""Food"",""Row ID"",""5232315"",""Segment 1"",""5021"",""Segment 1 Description"",""Uinta River H"&amp;"igh School"",""Segment 10"","""",""Segment 10 Description"","""",""Segment 2"",""0"",""Segment 2 Description"","""",""Segment 3"",""6160"",""Segment 3 Description"","""",""Segment 4"",""0000"",""Segment 4 Description"","""",""Segment 5"","""",""Segment 5 Description"","""",""Segment 6"","""",""Segmen"&amp;"t 6 Description"","""",""Segment 7"","""",""Segment 7 Description"","""",""Segment 8"","""",""Segment 8 Description"","""",""Segment 9"","""",""Segment 9 Description"","""",""Transaction Amount"",""67.35000"",""Transaction Date"",""12/12/2024"",""Transaction Description"",""Food"",""Vendor Name"&amp;""",""DAVIS JUBILEE  AKA IGA"",""Vendor Number"",""DAVIS JUBI01"",""Journal Entry"",""1579159"""</f>
        <v>"GP","Ute Indian Tribe Membership Fund","Jet GL Transactions","Account Category Description","Other Expenses","Account Category Number","42","Account Description","Food","Account Index","7845","Account Number","5021-0-6160-0000","Credit Amount","0.00000","Debit Amount","67.35000","Document Date","1/1/1900","Document Number","02-142098","Document Sequence","32768","Period ID","3","Posting Type","Profit and Loss","Reference","Food","Row ID","5232315","Segment 1","5021","Segment 1 Description","Uinta River High School","Segment 10","","Segment 10 Description","","Segment 2","0","Segment 2 Description","","Segment 3","6160","Segment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Amount","67.35000","Transaction Date","12/12/2024","Transaction Description","Food","Vendor Name","DAVIS JUBILEE  AKA IGA","Vendor Number","DAVIS JUBI01","Journal Entry","1579159"</v>
      </c>
      <c r="L175" s="19">
        <v>45638</v>
      </c>
      <c r="M175">
        <v>1579159</v>
      </c>
      <c r="N175" t="str">
        <f>"DAVIS JUBILEE  AKA IGA"</f>
        <v>DAVIS JUBILEE  AKA IGA</v>
      </c>
      <c r="O175" t="str">
        <f>"02-142098"</f>
        <v>02-142098</v>
      </c>
      <c r="P175" t="str">
        <f>"Food"</f>
        <v>Food</v>
      </c>
      <c r="Q175" s="20" t="str">
        <f>"Food"</f>
        <v>Food</v>
      </c>
      <c r="R175" s="21">
        <v>67.349999999999994</v>
      </c>
      <c r="S175" s="21">
        <v>0</v>
      </c>
      <c r="T175" s="22">
        <f t="shared" si="27"/>
        <v>67.349999999999994</v>
      </c>
    </row>
    <row r="176" spans="1:20" x14ac:dyDescent="0.25">
      <c r="A176" s="1" t="s">
        <v>25</v>
      </c>
      <c r="B176" s="17"/>
      <c r="C176" s="17"/>
      <c r="F176" s="17" t="e">
        <f>#REF!</f>
        <v>#REF!</v>
      </c>
      <c r="G176" s="17" t="e">
        <f>#REF!</f>
        <v>#REF!</v>
      </c>
      <c r="H176" s="18"/>
    </row>
    <row r="177" spans="1:20" x14ac:dyDescent="0.25">
      <c r="A177" s="1" t="s">
        <v>25</v>
      </c>
      <c r="I177" s="50" t="str">
        <f>I162&amp;"   "&amp;J162&amp;"         Total:"</f>
        <v>5021-0-6160-0000   Food         Total:</v>
      </c>
      <c r="J177" s="50"/>
      <c r="K177" s="50"/>
      <c r="L177" s="50"/>
      <c r="M177" s="50"/>
      <c r="N177" s="50"/>
      <c r="O177" s="50"/>
      <c r="P177" s="50"/>
      <c r="Q177" s="50"/>
      <c r="R177" s="50"/>
      <c r="S177" s="50"/>
      <c r="T177" s="23">
        <f>SUBTOTAL(9,T163:T176)</f>
        <v>5000.71</v>
      </c>
    </row>
    <row r="178" spans="1:20" x14ac:dyDescent="0.25">
      <c r="A178" s="1" t="s">
        <v>25</v>
      </c>
    </row>
    <row r="179" spans="1:20" x14ac:dyDescent="0.25">
      <c r="A179" s="1" t="s">
        <v>25</v>
      </c>
    </row>
    <row r="180" spans="1:20" x14ac:dyDescent="0.25">
      <c r="A180" s="1" t="s">
        <v>25</v>
      </c>
      <c r="D180" s="1" t="str">
        <f>"||""Filter"",""Jet GL Transactions"",""Account Number"",""Transaction Date"",""10/1/2024..9/30/2025"",""Account Number"",""||""""Filter"""",""""Jet GL Transactions"""",""""Account Number"""",""""Segment 1"""",""""5021"""",""""Segment 2"""",""""*"""",""""Segment 4"""",""""0000|9050"""""""</f>
        <v>||"Filter","Jet GL Transactions","Account Number","Transaction Date","10/1/2024..9/30/2025","Account Number","||""Filter"",""Jet GL Transactions"",""Account Number"",""Segment 1"",""5021"",""Segment 2"",""*"",""Segment 4"",""0000|9050"""</v>
      </c>
      <c r="F180" s="1" t="str">
        <f>"5021-0-6205-0000"</f>
        <v>5021-0-6205-0000</v>
      </c>
      <c r="G180" s="1" t="str">
        <f>"5021-0-6205-0000"</f>
        <v>5021-0-6205-0000</v>
      </c>
      <c r="I180" s="15" t="str">
        <f>G180</f>
        <v>5021-0-6205-0000</v>
      </c>
      <c r="J180" s="15" t="str">
        <f>"Vehicle - Gas"</f>
        <v>Vehicle - Gas</v>
      </c>
      <c r="Q180" s="15"/>
      <c r="R180" s="16"/>
    </row>
    <row r="181" spans="1:20" x14ac:dyDescent="0.25">
      <c r="A181" s="1" t="s">
        <v>25</v>
      </c>
      <c r="B181" s="17"/>
      <c r="C181" s="17"/>
      <c r="F181" s="17" t="e">
        <f>#REF!</f>
        <v>#REF!</v>
      </c>
      <c r="G181" s="17" t="e">
        <f>#REF!</f>
        <v>#REF!</v>
      </c>
      <c r="H181" s="18"/>
      <c r="K181" t="str">
        <f>"""GP"",""Ute Indian Tribe Membership Fund"",""Jet GL Transactions"",""Account Category Description"",""Other Expenses"",""Account Category Number"",""42"",""Account Description"",""Vehicle - Gas"",""Account Index"",""3592"",""Account Number"",""5021-0-6205-0000"",""Credit Amount"","""&amp;"0.00000"",""Debit Amount"",""32.22000"",""Document Date"",""1/1/1900"",""Document Number"",""STDINV133593"",""Document Sequence"",""32768"",""Period ID"",""2"",""Posting Type"",""Profit and Loss"",""Reference"",""Fuel"",""Row ID"",""5250246"",""Segment 1"",""5021"",""Segment 1 Description"",""U"&amp;"inta River High School"",""Segment 10"","""",""Segment 10 Description"","""",""Segment 2"",""0"",""Segment 2 Description"","""",""Segment 3"",""6205"",""Segment 3 Description"","""",""Segment 4"",""0000"",""Segment 4 Description"","""",""Segment 5"","""",""Segment 5 Description"","""",""Segment 6"&amp;""","""",""Segment 6 Description"","""",""Segment 7"","""",""Segment 7 Description"","""",""Segment 8"","""",""Segment 8 Description"","""",""Segment 9"","""",""Segment 9 Description"","""",""Transaction Amount"",""32.22000"",""Transaction Date"",""11/5/2024"",""Transaction Description"",""Fuel"","""&amp;"Vendor Name"",""UTE PETROLEUM FT DUCHESNE"",""Vendor Number"",""UTE PETROFTDUCH"",""Journal Entry"",""1581111"""</f>
        <v>"GP","Ute Indian Tribe Membership Fund","Jet GL Transactions","Account Category Description","Other Expenses","Account Category Number","42","Account Description","Vehicle - Gas","Account Index","3592","Account Number","5021-0-6205-0000","Credit Amount","0.00000","Debit Amount","32.22000","Document Date","1/1/1900","Document Number","STDINV133593","Document Sequence","32768","Period ID","2","Posting Type","Profit and Loss","Reference","Fuel","Row ID","5250246","Segment 1","5021","Segment 1 Description","Uinta River High School","Segment 10","","Segment 10 Description","","Segment 2","0","Segment 2 Description","","Segment 3","6205","Segment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Amount","32.22000","Transaction Date","11/5/2024","Transaction Description","Fuel","Vendor Name","UTE PETROLEUM FT DUCHESNE","Vendor Number","UTE PETROFTDUCH","Journal Entry","1581111"</v>
      </c>
      <c r="L181" s="19">
        <v>45601</v>
      </c>
      <c r="M181">
        <v>1581111</v>
      </c>
      <c r="N181" t="str">
        <f t="shared" ref="N181:N193" si="29">"UTE PETROLEUM FT DUCHESNE"</f>
        <v>UTE PETROLEUM FT DUCHESNE</v>
      </c>
      <c r="O181" t="str">
        <f>"STDINV133593"</f>
        <v>STDINV133593</v>
      </c>
      <c r="P181" t="str">
        <f t="shared" ref="P181:Q193" si="30">"Fuel"</f>
        <v>Fuel</v>
      </c>
      <c r="Q181" s="20" t="str">
        <f t="shared" si="30"/>
        <v>Fuel</v>
      </c>
      <c r="R181" s="21">
        <v>32.22</v>
      </c>
      <c r="S181" s="21">
        <v>0</v>
      </c>
      <c r="T181" s="22">
        <f t="shared" ref="T181:T193" si="31">SUM(R181:S181)</f>
        <v>32.22</v>
      </c>
    </row>
    <row r="182" spans="1:20" x14ac:dyDescent="0.25">
      <c r="A182" s="1" t="s">
        <v>25</v>
      </c>
      <c r="B182" s="17"/>
      <c r="C182" s="17"/>
      <c r="F182" s="17" t="e">
        <f t="shared" ref="F182:G193" si="32">F181</f>
        <v>#REF!</v>
      </c>
      <c r="G182" s="17" t="e">
        <f t="shared" si="32"/>
        <v>#REF!</v>
      </c>
      <c r="H182" s="18"/>
      <c r="K182" t="str">
        <f>"""GP"",""Ute Indian Tribe Membership Fund"",""Jet GL Transactions"",""Account Category Description"",""Other Expenses"",""Account Category Number"",""42"",""Account Description"",""Vehicle - Gas"",""Account Index"",""3592"",""Account Number"",""5021-0-6205-0000"",""Credit Amount"","""&amp;"0.00000"",""Debit Amount"",""40.13000"",""Document Date"",""1/1/1900"",""Document Number"",""STDINV133590"",""Document Sequence"",""32768"",""Period ID"",""2"",""Posting Type"",""Profit and Loss"",""Reference"",""Fuel"",""Row ID"",""5250248"",""Segment 1"",""5021"",""Segment 1 Description"",""U"&amp;"inta River High School"",""Segment 10"","""",""Segment 10 Description"","""",""Segment 2"",""0"",""Segment 2 Description"","""",""Segment 3"",""6205"",""Segment 3 Description"","""",""Segment 4"",""0000"",""Segment 4 Description"","""",""Segment 5"","""",""Segment 5 Description"","""",""Segment 6"&amp;""","""",""Segment 6 Description"","""",""Segment 7"","""",""Segment 7 Description"","""",""Segment 8"","""",""Segment 8 Description"","""",""Segment 9"","""",""Segment 9 Description"","""",""Transaction Amount"",""40.13000"",""Transaction Date"",""11/7/2024"",""Transaction Description"",""Fuel"","""&amp;"Vendor Name"",""UTE PETROLEUM FT DUCHESNE"",""Vendor Number"",""UTE PETROFTDUCH"",""Journal Entry"",""1581112"""</f>
        <v>"GP","Ute Indian Tribe Membership Fund","Jet GL Transactions","Account Category Description","Other Expenses","Account Category Number","42","Account Description","Vehicle - Gas","Account Index","3592","Account Number","5021-0-6205-0000","Credit Amount","0.00000","Debit Amount","40.13000","Document Date","1/1/1900","Document Number","STDINV133590","Document Sequence","32768","Period ID","2","Posting Type","Profit and Loss","Reference","Fuel","Row ID","5250248","Segment 1","5021","Segment 1 Description","Uinta River High School","Segment 10","","Segment 10 Description","","Segment 2","0","Segment 2 Description","","Segment 3","6205","Segment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Amount","40.13000","Transaction Date","11/7/2024","Transaction Description","Fuel","Vendor Name","UTE PETROLEUM FT DUCHESNE","Vendor Number","UTE PETROFTDUCH","Journal Entry","1581112"</v>
      </c>
      <c r="L182" s="19">
        <v>45603</v>
      </c>
      <c r="M182">
        <v>1581112</v>
      </c>
      <c r="N182" t="str">
        <f t="shared" si="29"/>
        <v>UTE PETROLEUM FT DUCHESNE</v>
      </c>
      <c r="O182" t="str">
        <f>"STDINV133590"</f>
        <v>STDINV133590</v>
      </c>
      <c r="P182" t="str">
        <f t="shared" si="30"/>
        <v>Fuel</v>
      </c>
      <c r="Q182" s="20" t="str">
        <f t="shared" si="30"/>
        <v>Fuel</v>
      </c>
      <c r="R182" s="21">
        <v>40.130000000000003</v>
      </c>
      <c r="S182" s="21">
        <v>0</v>
      </c>
      <c r="T182" s="22">
        <f t="shared" si="31"/>
        <v>40.130000000000003</v>
      </c>
    </row>
    <row r="183" spans="1:20" x14ac:dyDescent="0.25">
      <c r="A183" s="1" t="s">
        <v>25</v>
      </c>
      <c r="B183" s="17"/>
      <c r="C183" s="17"/>
      <c r="F183" s="17" t="e">
        <f t="shared" si="32"/>
        <v>#REF!</v>
      </c>
      <c r="G183" s="17" t="e">
        <f t="shared" si="32"/>
        <v>#REF!</v>
      </c>
      <c r="H183" s="18"/>
      <c r="K183" t="str">
        <f>"""GP"",""Ute Indian Tribe Membership Fund"",""Jet GL Transactions"",""Account Category Description"",""Other Expenses"",""Account Category Number"",""42"",""Account Description"",""Vehicle - Gas"",""Account Index"",""3592"",""Account Number"",""5021-0-6205-0000"",""Credit Amount"","""&amp;"0.00000"",""Debit Amount"",""78.60000"",""Document Date"",""1/1/1900"",""Document Number"",""STDINV133592"",""Document Sequence"",""32768"",""Period ID"",""2"",""Posting Type"",""Profit and Loss"",""Reference"",""Fuel"",""Row ID"",""5250252"",""Segment 1"",""5021"",""Segment 1 Description"",""U"&amp;"inta River High School"",""Segment 10"","""",""Segment 10 Description"","""",""Segment 2"",""0"",""Segment 2 Description"","""",""Segment 3"",""6205"",""Segment 3 Description"","""",""Segment 4"",""0000"",""Segment 4 Description"","""",""Segment 5"","""",""Segment 5 Description"","""",""Segment 6"&amp;""","""",""Segment 6 Description"","""",""Segment 7"","""",""Segment 7 Description"","""",""Segment 8"","""",""Segment 8 Description"","""",""Segment 9"","""",""Segment 9 Description"","""",""Transaction Amount"",""78.60000"",""Transaction Date"",""11/7/2024"",""Transaction Description"",""Fuel"","""&amp;"Vendor Name"",""UTE PETROLEUM FT DUCHESNE"",""Vendor Number"",""UTE PETROFTDUCH"",""Journal Entry"",""1581114"""</f>
        <v>"GP","Ute Indian Tribe Membership Fund","Jet GL Transactions","Account Category Description","Other Expenses","Account Category Number","42","Account Description","Vehicle - Gas","Account Index","3592","Account Number","5021-0-6205-0000","Credit Amount","0.00000","Debit Amount","78.60000","Document Date","1/1/1900","Document Number","STDINV133592","Document Sequence","32768","Period ID","2","Posting Type","Profit and Loss","Reference","Fuel","Row ID","5250252","Segment 1","5021","Segment 1 Description","Uinta River High School","Segment 10","","Segment 10 Description","","Segment 2","0","Segment 2 Description","","Segment 3","6205","Segment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Amount","78.60000","Transaction Date","11/7/2024","Transaction Description","Fuel","Vendor Name","UTE PETROLEUM FT DUCHESNE","Vendor Number","UTE PETROFTDUCH","Journal Entry","1581114"</v>
      </c>
      <c r="L183" s="19">
        <v>45603</v>
      </c>
      <c r="M183">
        <v>1581114</v>
      </c>
      <c r="N183" t="str">
        <f t="shared" si="29"/>
        <v>UTE PETROLEUM FT DUCHESNE</v>
      </c>
      <c r="O183" t="str">
        <f>"STDINV133592"</f>
        <v>STDINV133592</v>
      </c>
      <c r="P183" t="str">
        <f t="shared" si="30"/>
        <v>Fuel</v>
      </c>
      <c r="Q183" s="20" t="str">
        <f t="shared" si="30"/>
        <v>Fuel</v>
      </c>
      <c r="R183" s="21">
        <v>78.599999999999994</v>
      </c>
      <c r="S183" s="21">
        <v>0</v>
      </c>
      <c r="T183" s="22">
        <f t="shared" si="31"/>
        <v>78.599999999999994</v>
      </c>
    </row>
    <row r="184" spans="1:20" x14ac:dyDescent="0.25">
      <c r="A184" s="1" t="s">
        <v>25</v>
      </c>
      <c r="B184" s="17"/>
      <c r="C184" s="17"/>
      <c r="F184" s="17" t="e">
        <f t="shared" si="32"/>
        <v>#REF!</v>
      </c>
      <c r="G184" s="17" t="e">
        <f t="shared" si="32"/>
        <v>#REF!</v>
      </c>
      <c r="H184" s="18"/>
      <c r="K184" t="str">
        <f>"""GP"",""Ute Indian Tribe Membership Fund"",""Jet GL Transactions"",""Account Category Description"",""Other Expenses"",""Account Category Number"",""42"",""Account Description"",""Vehicle - Gas"",""Account Index"",""3592"",""Account Number"",""5021-0-6205-0000"",""Credit Amount"","""&amp;"0.00000"",""Debit Amount"",""100.07000"",""Document Date"",""1/1/1900"",""Document Number"",""STDINV133591"",""Document Sequence"",""32768"",""Period ID"",""2"",""Posting Type"",""Profit and Loss"",""Reference"",""Fuel"",""Row ID"",""5250250"",""Segment 1"",""5021"",""Segment 1 Description"","""&amp;"Uinta River High School"",""Segment 10"","""",""Segment 10 Description"","""",""Segment 2"",""0"",""Segment 2 Description"","""",""Segment 3"",""6205"",""Segment 3 Description"","""",""Segment 4"",""0000"",""Segment 4 Description"","""",""Segment 5"","""",""Segment 5 Description"","""",""Segment "&amp;"6"","""",""Segment 6 Description"","""",""Segment 7"","""",""Segment 7 Description"","""",""Segment 8"","""",""Segment 8 Description"","""",""Segment 9"","""",""Segment 9 Description"","""",""Transaction Amount"",""100.07000"",""Transaction Date"",""11/7/2024"",""Transaction Description"",""Fuel"""&amp;",""Vendor Name"",""UTE PETROLEUM FT DUCHESNE"",""Vendor Number"",""UTE PETROFTDUCH"",""Journal Entry"",""1581113"""</f>
        <v>"GP","Ute Indian Tribe Membership Fund","Jet GL Transactions","Account Category Description","Other Expenses","Account Category Number","42","Account Description","Vehicle - Gas","Account Index","3592","Account Number","5021-0-6205-0000","Credit Amount","0.00000","Debit Amount","100.07000","Document Date","1/1/1900","Document Number","STDINV133591","Document Sequence","32768","Period ID","2","Posting Type","Profit and Loss","Reference","Fuel","Row ID","5250250","Segment 1","5021","Segment 1 Description","Uinta River High School","Segment 10","","Segment 10 Description","","Segment 2","0","Segment 2 Description","","Segment 3","6205","Segment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Amount","100.07000","Transaction Date","11/7/2024","Transaction Description","Fuel","Vendor Name","UTE PETROLEUM FT DUCHESNE","Vendor Number","UTE PETROFTDUCH","Journal Entry","1581113"</v>
      </c>
      <c r="L184" s="19">
        <v>45603</v>
      </c>
      <c r="M184">
        <v>1581113</v>
      </c>
      <c r="N184" t="str">
        <f t="shared" si="29"/>
        <v>UTE PETROLEUM FT DUCHESNE</v>
      </c>
      <c r="O184" t="str">
        <f>"STDINV133591"</f>
        <v>STDINV133591</v>
      </c>
      <c r="P184" t="str">
        <f t="shared" si="30"/>
        <v>Fuel</v>
      </c>
      <c r="Q184" s="20" t="str">
        <f t="shared" si="30"/>
        <v>Fuel</v>
      </c>
      <c r="R184" s="21">
        <v>100.07</v>
      </c>
      <c r="S184" s="21">
        <v>0</v>
      </c>
      <c r="T184" s="22">
        <f t="shared" si="31"/>
        <v>100.07</v>
      </c>
    </row>
    <row r="185" spans="1:20" x14ac:dyDescent="0.25">
      <c r="A185" s="1" t="s">
        <v>25</v>
      </c>
      <c r="B185" s="17"/>
      <c r="C185" s="17"/>
      <c r="F185" s="17" t="e">
        <f t="shared" si="32"/>
        <v>#REF!</v>
      </c>
      <c r="G185" s="17" t="e">
        <f t="shared" si="32"/>
        <v>#REF!</v>
      </c>
      <c r="H185" s="18"/>
      <c r="K185" t="str">
        <f>"""GP"",""Ute Indian Tribe Membership Fund"",""Jet GL Transactions"",""Account Category Description"",""Other Expenses"",""Account Category Number"",""42"",""Account Description"",""Vehicle - Gas"",""Account Index"",""3592"",""Account Number"",""5021-0-6205-0000"",""Credit Amount"","""&amp;"0.00000"",""Debit Amount"",""47.38000"",""Document Date"",""1/1/1900"",""Document Number"",""STDINV133589"",""Document Sequence"",""32768"",""Period ID"",""2"",""Posting Type"",""Profit and Loss"",""Reference"",""Fuel"",""Row ID"",""5250254"",""Segment 1"",""5021"",""Segment 1 Description"",""U"&amp;"inta River High School"",""Segment 10"","""",""Segment 10 Description"","""",""Segment 2"",""0"",""Segment 2 Description"","""",""Segment 3"",""6205"",""Segment 3 Description"","""",""Segment 4"",""0000"",""Segment 4 Description"","""",""Segment 5"","""",""Segment 5 Description"","""",""Segment 6"&amp;""","""",""Segment 6 Description"","""",""Segment 7"","""",""Segment 7 Description"","""",""Segment 8"","""",""Segment 8 Description"","""",""Segment 9"","""",""Segment 9 Description"","""",""Transaction Amount"",""47.38000"",""Transaction Date"",""11/8/2024"",""Transaction Description"",""Fuel"","""&amp;"Vendor Name"",""UTE PETROLEUM FT DUCHESNE"",""Vendor Number"",""UTE PETROFTDUCH"",""Journal Entry"",""1581115"""</f>
        <v>"GP","Ute Indian Tribe Membership Fund","Jet GL Transactions","Account Category Description","Other Expenses","Account Category Number","42","Account Description","Vehicle - Gas","Account Index","3592","Account Number","5021-0-6205-0000","Credit Amount","0.00000","Debit Amount","47.38000","Document Date","1/1/1900","Document Number","STDINV133589","Document Sequence","32768","Period ID","2","Posting Type","Profit and Loss","Reference","Fuel","Row ID","5250254","Segment 1","5021","Segment 1 Description","Uinta River High School","Segment 10","","Segment 10 Description","","Segment 2","0","Segment 2 Description","","Segment 3","6205","Segment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Amount","47.38000","Transaction Date","11/8/2024","Transaction Description","Fuel","Vendor Name","UTE PETROLEUM FT DUCHESNE","Vendor Number","UTE PETROFTDUCH","Journal Entry","1581115"</v>
      </c>
      <c r="L185" s="19">
        <v>45604</v>
      </c>
      <c r="M185">
        <v>1581115</v>
      </c>
      <c r="N185" t="str">
        <f t="shared" si="29"/>
        <v>UTE PETROLEUM FT DUCHESNE</v>
      </c>
      <c r="O185" t="str">
        <f>"STDINV133589"</f>
        <v>STDINV133589</v>
      </c>
      <c r="P185" t="str">
        <f t="shared" si="30"/>
        <v>Fuel</v>
      </c>
      <c r="Q185" s="20" t="str">
        <f t="shared" si="30"/>
        <v>Fuel</v>
      </c>
      <c r="R185" s="21">
        <v>47.38</v>
      </c>
      <c r="S185" s="21">
        <v>0</v>
      </c>
      <c r="T185" s="22">
        <f t="shared" si="31"/>
        <v>47.38</v>
      </c>
    </row>
    <row r="186" spans="1:20" x14ac:dyDescent="0.25">
      <c r="A186" s="1" t="s">
        <v>25</v>
      </c>
      <c r="B186" s="17"/>
      <c r="C186" s="17"/>
      <c r="F186" s="17" t="e">
        <f t="shared" si="32"/>
        <v>#REF!</v>
      </c>
      <c r="G186" s="17" t="e">
        <f t="shared" si="32"/>
        <v>#REF!</v>
      </c>
      <c r="H186" s="18"/>
      <c r="K186" t="str">
        <f>"""GP"",""Ute Indian Tribe Membership Fund"",""Jet GL Transactions"",""Account Category Description"",""Other Expenses"",""Account Category Number"",""42"",""Account Description"",""Vehicle - Gas"",""Account Index"",""3592"",""Account Number"",""5021-0-6205-0000"",""Credit Amount"","""&amp;"0.00000"",""Debit Amount"",""50.11000"",""Document Date"",""1/1/1900"",""Document Number"",""STDINV133775"",""Document Sequence"",""32768"",""Period ID"",""2"",""Posting Type"",""Profit and Loss"",""Reference"",""Fuel"",""Row ID"",""5250256"",""Segment 1"",""5021"",""Segment 1 Description"",""U"&amp;"inta River High School"",""Segment 10"","""",""Segment 10 Description"","""",""Segment 2"",""0"",""Segment 2 Description"","""",""Segment 3"",""6205"",""Segment 3 Description"","""",""Segment 4"",""0000"",""Segment 4 Description"","""",""Segment 5"","""",""Segment 5 Description"","""",""Segment 6"&amp;""","""",""Segment 6 Description"","""",""Segment 7"","""",""Segment 7 Description"","""",""Segment 8"","""",""Segment 8 Description"","""",""Segment 9"","""",""Segment 9 Description"","""",""Transaction Amount"",""50.11000"",""Transaction Date"",""11/10/2024"",""Transaction Description"",""Fuel"","&amp;"""Vendor Name"",""UTE PETROLEUM FT DUCHESNE"",""Vendor Number"",""UTE PETROFTDUCH"",""Journal Entry"",""1581116"""</f>
        <v>"GP","Ute Indian Tribe Membership Fund","Jet GL Transactions","Account Category Description","Other Expenses","Account Category Number","42","Account Description","Vehicle - Gas","Account Index","3592","Account Number","5021-0-6205-0000","Credit Amount","0.00000","Debit Amount","50.11000","Document Date","1/1/1900","Document Number","STDINV133775","Document Sequence","32768","Period ID","2","Posting Type","Profit and Loss","Reference","Fuel","Row ID","5250256","Segment 1","5021","Segment 1 Description","Uinta River High School","Segment 10","","Segment 10 Description","","Segment 2","0","Segment 2 Description","","Segment 3","6205","Segment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Amount","50.11000","Transaction Date","11/10/2024","Transaction Description","Fuel","Vendor Name","UTE PETROLEUM FT DUCHESNE","Vendor Number","UTE PETROFTDUCH","Journal Entry","1581116"</v>
      </c>
      <c r="L186" s="19">
        <v>45606</v>
      </c>
      <c r="M186">
        <v>1581116</v>
      </c>
      <c r="N186" t="str">
        <f t="shared" si="29"/>
        <v>UTE PETROLEUM FT DUCHESNE</v>
      </c>
      <c r="O186" t="str">
        <f>"STDINV133775"</f>
        <v>STDINV133775</v>
      </c>
      <c r="P186" t="str">
        <f t="shared" si="30"/>
        <v>Fuel</v>
      </c>
      <c r="Q186" s="20" t="str">
        <f t="shared" si="30"/>
        <v>Fuel</v>
      </c>
      <c r="R186" s="21">
        <v>50.11</v>
      </c>
      <c r="S186" s="21">
        <v>0</v>
      </c>
      <c r="T186" s="22">
        <f t="shared" si="31"/>
        <v>50.11</v>
      </c>
    </row>
    <row r="187" spans="1:20" x14ac:dyDescent="0.25">
      <c r="A187" s="1" t="s">
        <v>25</v>
      </c>
      <c r="B187" s="17"/>
      <c r="C187" s="17"/>
      <c r="F187" s="17" t="e">
        <f t="shared" si="32"/>
        <v>#REF!</v>
      </c>
      <c r="G187" s="17" t="e">
        <f t="shared" si="32"/>
        <v>#REF!</v>
      </c>
      <c r="H187" s="18"/>
      <c r="K187" t="str">
        <f>"""GP"",""Ute Indian Tribe Membership Fund"",""Jet GL Transactions"",""Account Category Description"",""Other Expenses"",""Account Category Number"",""42"",""Account Description"",""Vehicle - Gas"",""Account Index"",""3592"",""Account Number"",""5021-0-6205-0000"",""Credit Amount"","""&amp;"0.00000"",""Debit Amount"",""40.12000"",""Document Date"",""1/1/1900"",""Document Number"",""STDINV133776"",""Document Sequence"",""32768"",""Period ID"",""2"",""Posting Type"",""Profit and Loss"",""Reference"",""Fuel"",""Row ID"",""5250258"",""Segment 1"",""5021"",""Segment 1 Description"",""U"&amp;"inta River High School"",""Segment 10"","""",""Segment 10 Description"","""",""Segment 2"",""0"",""Segment 2 Description"","""",""Segment 3"",""6205"",""Segment 3 Description"","""",""Segment 4"",""0000"",""Segment 4 Description"","""",""Segment 5"","""",""Segment 5 Description"","""",""Segment 6"&amp;""","""",""Segment 6 Description"","""",""Segment 7"","""",""Segment 7 Description"","""",""Segment 8"","""",""Segment 8 Description"","""",""Segment 9"","""",""Segment 9 Description"","""",""Transaction Amount"",""40.12000"",""Transaction Date"",""11/11/2024"",""Transaction Description"",""Fuel"","&amp;"""Vendor Name"",""UTE PETROLEUM FT DUCHESNE"",""Vendor Number"",""UTE PETROFTDUCH"",""Journal Entry"",""1581117"""</f>
        <v>"GP","Ute Indian Tribe Membership Fund","Jet GL Transactions","Account Category Description","Other Expenses","Account Category Number","42","Account Description","Vehicle - Gas","Account Index","3592","Account Number","5021-0-6205-0000","Credit Amount","0.00000","Debit Amount","40.12000","Document Date","1/1/1900","Document Number","STDINV133776","Document Sequence","32768","Period ID","2","Posting Type","Profit and Loss","Reference","Fuel","Row ID","5250258","Segment 1","5021","Segment 1 Description","Uinta River High School","Segment 10","","Segment 10 Description","","Segment 2","0","Segment 2 Description","","Segment 3","6205","Segment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Amount","40.12000","Transaction Date","11/11/2024","Transaction Description","Fuel","Vendor Name","UTE PETROLEUM FT DUCHESNE","Vendor Number","UTE PETROFTDUCH","Journal Entry","1581117"</v>
      </c>
      <c r="L187" s="19">
        <v>45607</v>
      </c>
      <c r="M187">
        <v>1581117</v>
      </c>
      <c r="N187" t="str">
        <f t="shared" si="29"/>
        <v>UTE PETROLEUM FT DUCHESNE</v>
      </c>
      <c r="O187" t="str">
        <f>"STDINV133776"</f>
        <v>STDINV133776</v>
      </c>
      <c r="P187" t="str">
        <f t="shared" si="30"/>
        <v>Fuel</v>
      </c>
      <c r="Q187" s="20" t="str">
        <f t="shared" si="30"/>
        <v>Fuel</v>
      </c>
      <c r="R187" s="21">
        <v>40.119999999999997</v>
      </c>
      <c r="S187" s="21">
        <v>0</v>
      </c>
      <c r="T187" s="22">
        <f t="shared" si="31"/>
        <v>40.119999999999997</v>
      </c>
    </row>
    <row r="188" spans="1:20" x14ac:dyDescent="0.25">
      <c r="A188" s="1" t="s">
        <v>25</v>
      </c>
      <c r="B188" s="17"/>
      <c r="C188" s="17"/>
      <c r="F188" s="17" t="e">
        <f t="shared" si="32"/>
        <v>#REF!</v>
      </c>
      <c r="G188" s="17" t="e">
        <f t="shared" si="32"/>
        <v>#REF!</v>
      </c>
      <c r="H188" s="18"/>
      <c r="K188" t="str">
        <f>"""GP"",""Ute Indian Tribe Membership Fund"",""Jet GL Transactions"",""Account Category Description"",""Other Expenses"",""Account Category Number"",""42"",""Account Description"",""Vehicle - Gas"",""Account Index"",""3592"",""Account Number"",""5021-0-6205-0000"",""Credit Amount"","""&amp;"0.00000"",""Debit Amount"",""625.91000"",""Document Date"",""1/1/1900"",""Document Number"",""STDINV133777"",""Document Sequence"",""32768"",""Period ID"",""2"",""Posting Type"",""Profit and Loss"",""Reference"",""Fuel"",""Row ID"",""5250260"",""Segment 1"",""5021"",""Segment 1 Description"","""&amp;"Uinta River High School"",""Segment 10"","""",""Segment 10 Description"","""",""Segment 2"",""0"",""Segment 2 Description"","""",""Segment 3"",""6205"",""Segment 3 Description"","""",""Segment 4"",""0000"",""Segment 4 Description"","""",""Segment 5"","""",""Segment 5 Description"","""",""Segment "&amp;"6"","""",""Segment 6 Description"","""",""Segment 7"","""",""Segment 7 Description"","""",""Segment 8"","""",""Segment 8 Description"","""",""Segment 9"","""",""Segment 9 Description"","""",""Transaction Amount"",""625.91000"",""Transaction Date"",""11/11/2024"",""Transaction Description"",""Fuel"&amp;""",""Vendor Name"",""UTE PETROLEUM FT DUCHESNE"",""Vendor Number"",""UTE PETROFTDUCH"",""Journal Entry"",""1581118"""</f>
        <v>"GP","Ute Indian Tribe Membership Fund","Jet GL Transactions","Account Category Description","Other Expenses","Account Category Number","42","Account Description","Vehicle - Gas","Account Index","3592","Account Number","5021-0-6205-0000","Credit Amount","0.00000","Debit Amount","625.91000","Document Date","1/1/1900","Document Number","STDINV133777","Document Sequence","32768","Period ID","2","Posting Type","Profit and Loss","Reference","Fuel","Row ID","5250260","Segment 1","5021","Segment 1 Description","Uinta River High School","Segment 10","","Segment 10 Description","","Segment 2","0","Segment 2 Description","","Segment 3","6205","Segment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Amount","625.91000","Transaction Date","11/11/2024","Transaction Description","Fuel","Vendor Name","UTE PETROLEUM FT DUCHESNE","Vendor Number","UTE PETROFTDUCH","Journal Entry","1581118"</v>
      </c>
      <c r="L188" s="19">
        <v>45607</v>
      </c>
      <c r="M188">
        <v>1581118</v>
      </c>
      <c r="N188" t="str">
        <f t="shared" si="29"/>
        <v>UTE PETROLEUM FT DUCHESNE</v>
      </c>
      <c r="O188" t="str">
        <f>"STDINV133777"</f>
        <v>STDINV133777</v>
      </c>
      <c r="P188" t="str">
        <f t="shared" si="30"/>
        <v>Fuel</v>
      </c>
      <c r="Q188" s="20" t="str">
        <f t="shared" si="30"/>
        <v>Fuel</v>
      </c>
      <c r="R188" s="21">
        <v>625.91</v>
      </c>
      <c r="S188" s="21">
        <v>0</v>
      </c>
      <c r="T188" s="22">
        <f t="shared" si="31"/>
        <v>625.91</v>
      </c>
    </row>
    <row r="189" spans="1:20" x14ac:dyDescent="0.25">
      <c r="A189" s="1" t="s">
        <v>25</v>
      </c>
      <c r="B189" s="17"/>
      <c r="C189" s="17"/>
      <c r="F189" s="17" t="e">
        <f t="shared" si="32"/>
        <v>#REF!</v>
      </c>
      <c r="G189" s="17" t="e">
        <f t="shared" si="32"/>
        <v>#REF!</v>
      </c>
      <c r="H189" s="18"/>
      <c r="K189" t="str">
        <f>"""GP"",""Ute Indian Tribe Membership Fund"",""Jet GL Transactions"",""Account Category Description"",""Other Expenses"",""Account Category Number"",""42"",""Account Description"",""Vehicle - Gas"",""Account Index"",""3592"",""Account Number"",""5021-0-6205-0000"",""Credit Amount"","""&amp;"0.00000"",""Debit Amount"",""39.41000"",""Document Date"",""1/1/1900"",""Document Number"",""STDINV133778"",""Document Sequence"",""32768"",""Period ID"",""2"",""Posting Type"",""Profit and Loss"",""Reference"",""Fuel"",""Row ID"",""5250262"",""Segment 1"",""5021"",""Segment 1 Description"",""U"&amp;"inta River High School"",""Segment 10"","""",""Segment 10 Description"","""",""Segment 2"",""0"",""Segment 2 Description"","""",""Segment 3"",""6205"",""Segment 3 Description"","""",""Segment 4"",""0000"",""Segment 4 Description"","""",""Segment 5"","""",""Segment 5 Description"","""",""Segment 6"&amp;""","""",""Segment 6 Description"","""",""Segment 7"","""",""Segment 7 Description"","""",""Segment 8"","""",""Segment 8 Description"","""",""Segment 9"","""",""Segment 9 Description"","""",""Transaction Amount"",""39.41000"",""Transaction Date"",""11/12/2024"",""Transaction Description"",""Fuel"","&amp;"""Vendor Name"",""UTE PETROLEUM FT DUCHESNE"",""Vendor Number"",""UTE PETROFTDUCH"",""Journal Entry"",""1581119"""</f>
        <v>"GP","Ute Indian Tribe Membership Fund","Jet GL Transactions","Account Category Description","Other Expenses","Account Category Number","42","Account Description","Vehicle - Gas","Account Index","3592","Account Number","5021-0-6205-0000","Credit Amount","0.00000","Debit Amount","39.41000","Document Date","1/1/1900","Document Number","STDINV133778","Document Sequence","32768","Period ID","2","Posting Type","Profit and Loss","Reference","Fuel","Row ID","5250262","Segment 1","5021","Segment 1 Description","Uinta River High School","Segment 10","","Segment 10 Description","","Segment 2","0","Segment 2 Description","","Segment 3","6205","Segment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Amount","39.41000","Transaction Date","11/12/2024","Transaction Description","Fuel","Vendor Name","UTE PETROLEUM FT DUCHESNE","Vendor Number","UTE PETROFTDUCH","Journal Entry","1581119"</v>
      </c>
      <c r="L189" s="19">
        <v>45608</v>
      </c>
      <c r="M189">
        <v>1581119</v>
      </c>
      <c r="N189" t="str">
        <f t="shared" si="29"/>
        <v>UTE PETROLEUM FT DUCHESNE</v>
      </c>
      <c r="O189" t="str">
        <f>"STDINV133778"</f>
        <v>STDINV133778</v>
      </c>
      <c r="P189" t="str">
        <f t="shared" si="30"/>
        <v>Fuel</v>
      </c>
      <c r="Q189" s="20" t="str">
        <f t="shared" si="30"/>
        <v>Fuel</v>
      </c>
      <c r="R189" s="21">
        <v>39.409999999999997</v>
      </c>
      <c r="S189" s="21">
        <v>0</v>
      </c>
      <c r="T189" s="22">
        <f t="shared" si="31"/>
        <v>39.409999999999997</v>
      </c>
    </row>
    <row r="190" spans="1:20" x14ac:dyDescent="0.25">
      <c r="A190" s="1" t="s">
        <v>25</v>
      </c>
      <c r="B190" s="17"/>
      <c r="C190" s="17"/>
      <c r="F190" s="17" t="e">
        <f t="shared" si="32"/>
        <v>#REF!</v>
      </c>
      <c r="G190" s="17" t="e">
        <f t="shared" si="32"/>
        <v>#REF!</v>
      </c>
      <c r="H190" s="18"/>
      <c r="K190" t="str">
        <f>"""GP"",""Ute Indian Tribe Membership Fund"",""Jet GL Transactions"",""Account Category Description"",""Other Expenses"",""Account Category Number"",""42"",""Account Description"",""Vehicle - Gas"",""Account Index"",""3592"",""Account Number"",""5021-0-6205-0000"",""Credit Amount"","""&amp;"0.00000"",""Debit Amount"",""75.80000"",""Document Date"",""1/1/1900"",""Document Number"",""STDINV133967"",""Document Sequence"",""32768"",""Period ID"",""2"",""Posting Type"",""Profit and Loss"",""Reference"",""Fuel"",""Row ID"",""5250264"",""Segment 1"",""5021"",""Segment 1 Description"",""U"&amp;"inta River High School"",""Segment 10"","""",""Segment 10 Description"","""",""Segment 2"",""0"",""Segment 2 Description"","""",""Segment 3"",""6205"",""Segment 3 Description"","""",""Segment 4"",""0000"",""Segment 4 Description"","""",""Segment 5"","""",""Segment 5 Description"","""",""Segment 6"&amp;""","""",""Segment 6 Description"","""",""Segment 7"","""",""Segment 7 Description"","""",""Segment 8"","""",""Segment 8 Description"","""",""Segment 9"","""",""Segment 9 Description"","""",""Transaction Amount"",""75.80000"",""Transaction Date"",""11/18/2024"",""Transaction Description"",""Fuel"","&amp;"""Vendor Name"",""UTE PETROLEUM FT DUCHESNE"",""Vendor Number"",""UTE PETROFTDUCH"",""Journal Entry"",""1581120"""</f>
        <v>"GP","Ute Indian Tribe Membership Fund","Jet GL Transactions","Account Category Description","Other Expenses","Account Category Number","42","Account Description","Vehicle - Gas","Account Index","3592","Account Number","5021-0-6205-0000","Credit Amount","0.00000","Debit Amount","75.80000","Document Date","1/1/1900","Document Number","STDINV133967","Document Sequence","32768","Period ID","2","Posting Type","Profit and Loss","Reference","Fuel","Row ID","5250264","Segment 1","5021","Segment 1 Description","Uinta River High School","Segment 10","","Segment 10 Description","","Segment 2","0","Segment 2 Description","","Segment 3","6205","Segment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Amount","75.80000","Transaction Date","11/18/2024","Transaction Description","Fuel","Vendor Name","UTE PETROLEUM FT DUCHESNE","Vendor Number","UTE PETROFTDUCH","Journal Entry","1581120"</v>
      </c>
      <c r="L190" s="19">
        <v>45614</v>
      </c>
      <c r="M190">
        <v>1581120</v>
      </c>
      <c r="N190" t="str">
        <f t="shared" si="29"/>
        <v>UTE PETROLEUM FT DUCHESNE</v>
      </c>
      <c r="O190" t="str">
        <f>"STDINV133967"</f>
        <v>STDINV133967</v>
      </c>
      <c r="P190" t="str">
        <f t="shared" si="30"/>
        <v>Fuel</v>
      </c>
      <c r="Q190" s="20" t="str">
        <f t="shared" si="30"/>
        <v>Fuel</v>
      </c>
      <c r="R190" s="21">
        <v>75.8</v>
      </c>
      <c r="S190" s="21">
        <v>0</v>
      </c>
      <c r="T190" s="22">
        <f t="shared" si="31"/>
        <v>75.8</v>
      </c>
    </row>
    <row r="191" spans="1:20" x14ac:dyDescent="0.25">
      <c r="A191" s="1" t="s">
        <v>25</v>
      </c>
      <c r="B191" s="17"/>
      <c r="C191" s="17"/>
      <c r="F191" s="17" t="e">
        <f t="shared" si="32"/>
        <v>#REF!</v>
      </c>
      <c r="G191" s="17" t="e">
        <f t="shared" si="32"/>
        <v>#REF!</v>
      </c>
      <c r="H191" s="18"/>
      <c r="K191" t="str">
        <f>"""GP"",""Ute Indian Tribe Membership Fund"",""Jet GL Transactions"",""Account Category Description"",""Other Expenses"",""Account Category Number"",""42"",""Account Description"",""Vehicle - Gas"",""Account Index"",""3592"",""Account Number"",""5021-0-6205-0000"",""Credit Amount"","""&amp;"0.00000"",""Debit Amount"",""58.50000"",""Document Date"",""1/1/1900"",""Document Number"",""STDINV133968"",""Document Sequence"",""32768"",""Period ID"",""2"",""Posting Type"",""Profit and Loss"",""Reference"",""Fuel"",""Row ID"",""5250266"",""Segment 1"",""5021"",""Segment 1 Description"",""U"&amp;"inta River High School"",""Segment 10"","""",""Segment 10 Description"","""",""Segment 2"",""0"",""Segment 2 Description"","""",""Segment 3"",""6205"",""Segment 3 Description"","""",""Segment 4"",""0000"",""Segment 4 Description"","""",""Segment 5"","""",""Segment 5 Description"","""",""Segment 6"&amp;""","""",""Segment 6 Description"","""",""Segment 7"","""",""Segment 7 Description"","""",""Segment 8"","""",""Segment 8 Description"","""",""Segment 9"","""",""Segment 9 Description"","""",""Transaction Amount"",""58.50000"",""Transaction Date"",""11/20/2024"",""Transaction Description"",""Fuel"","&amp;"""Vendor Name"",""UTE PETROLEUM FT DUCHESNE"",""Vendor Number"",""UTE PETROFTDUCH"",""Journal Entry"",""1581121"""</f>
        <v>"GP","Ute Indian Tribe Membership Fund","Jet GL Transactions","Account Category Description","Other Expenses","Account Category Number","42","Account Description","Vehicle - Gas","Account Index","3592","Account Number","5021-0-6205-0000","Credit Amount","0.00000","Debit Amount","58.50000","Document Date","1/1/1900","Document Number","STDINV133968","Document Sequence","32768","Period ID","2","Posting Type","Profit and Loss","Reference","Fuel","Row ID","5250266","Segment 1","5021","Segment 1 Description","Uinta River High School","Segment 10","","Segment 10 Description","","Segment 2","0","Segment 2 Description","","Segment 3","6205","Segment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Amount","58.50000","Transaction Date","11/20/2024","Transaction Description","Fuel","Vendor Name","UTE PETROLEUM FT DUCHESNE","Vendor Number","UTE PETROFTDUCH","Journal Entry","1581121"</v>
      </c>
      <c r="L191" s="19">
        <v>45616</v>
      </c>
      <c r="M191">
        <v>1581121</v>
      </c>
      <c r="N191" t="str">
        <f t="shared" si="29"/>
        <v>UTE PETROLEUM FT DUCHESNE</v>
      </c>
      <c r="O191" t="str">
        <f>"STDINV133968"</f>
        <v>STDINV133968</v>
      </c>
      <c r="P191" t="str">
        <f t="shared" si="30"/>
        <v>Fuel</v>
      </c>
      <c r="Q191" s="20" t="str">
        <f t="shared" si="30"/>
        <v>Fuel</v>
      </c>
      <c r="R191" s="21">
        <v>58.5</v>
      </c>
      <c r="S191" s="21">
        <v>0</v>
      </c>
      <c r="T191" s="22">
        <f t="shared" si="31"/>
        <v>58.5</v>
      </c>
    </row>
    <row r="192" spans="1:20" x14ac:dyDescent="0.25">
      <c r="A192" s="1" t="s">
        <v>25</v>
      </c>
      <c r="B192" s="17"/>
      <c r="C192" s="17"/>
      <c r="F192" s="17" t="e">
        <f t="shared" si="32"/>
        <v>#REF!</v>
      </c>
      <c r="G192" s="17" t="e">
        <f t="shared" si="32"/>
        <v>#REF!</v>
      </c>
      <c r="H192" s="18"/>
      <c r="K192" t="str">
        <f>"""GP"",""Ute Indian Tribe Membership Fund"",""Jet GL Transactions"",""Account Category Description"",""Other Expenses"",""Account Category Number"",""42"",""Account Description"",""Vehicle - Gas"",""Account Index"",""3592"",""Account Number"",""5021-0-6205-0000"",""Credit Amount"","""&amp;"0.00000"",""Debit Amount"",""37.68000"",""Document Date"",""1/1/1900"",""Document Number"",""STDINV133969"",""Document Sequence"",""32768"",""Period ID"",""2"",""Posting Type"",""Profit and Loss"",""Reference"",""Fuel"",""Row ID"",""5250268"",""Segment 1"",""5021"",""Segment 1 Description"",""U"&amp;"inta River High School"",""Segment 10"","""",""Segment 10 Description"","""",""Segment 2"",""0"",""Segment 2 Description"","""",""Segment 3"",""6205"",""Segment 3 Description"","""",""Segment 4"",""0000"",""Segment 4 Description"","""",""Segment 5"","""",""Segment 5 Description"","""",""Segment 6"&amp;""","""",""Segment 6 Description"","""",""Segment 7"","""",""Segment 7 Description"","""",""Segment 8"","""",""Segment 8 Description"","""",""Segment 9"","""",""Segment 9 Description"","""",""Transaction Amount"",""37.68000"",""Transaction Date"",""11/23/2024"",""Transaction Description"",""Fuel"","&amp;"""Vendor Name"",""UTE PETROLEUM FT DUCHESNE"",""Vendor Number"",""UTE PETROFTDUCH"",""Journal Entry"",""1581122"""</f>
        <v>"GP","Ute Indian Tribe Membership Fund","Jet GL Transactions","Account Category Description","Other Expenses","Account Category Number","42","Account Description","Vehicle - Gas","Account Index","3592","Account Number","5021-0-6205-0000","Credit Amount","0.00000","Debit Amount","37.68000","Document Date","1/1/1900","Document Number","STDINV133969","Document Sequence","32768","Period ID","2","Posting Type","Profit and Loss","Reference","Fuel","Row ID","5250268","Segment 1","5021","Segment 1 Description","Uinta River High School","Segment 10","","Segment 10 Description","","Segment 2","0","Segment 2 Description","","Segment 3","6205","Segment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Amount","37.68000","Transaction Date","11/23/2024","Transaction Description","Fuel","Vendor Name","UTE PETROLEUM FT DUCHESNE","Vendor Number","UTE PETROFTDUCH","Journal Entry","1581122"</v>
      </c>
      <c r="L192" s="19">
        <v>45619</v>
      </c>
      <c r="M192">
        <v>1581122</v>
      </c>
      <c r="N192" t="str">
        <f t="shared" si="29"/>
        <v>UTE PETROLEUM FT DUCHESNE</v>
      </c>
      <c r="O192" t="str">
        <f>"STDINV133969"</f>
        <v>STDINV133969</v>
      </c>
      <c r="P192" t="str">
        <f t="shared" si="30"/>
        <v>Fuel</v>
      </c>
      <c r="Q192" s="20" t="str">
        <f t="shared" si="30"/>
        <v>Fuel</v>
      </c>
      <c r="R192" s="21">
        <v>37.68</v>
      </c>
      <c r="S192" s="21">
        <v>0</v>
      </c>
      <c r="T192" s="22">
        <f t="shared" si="31"/>
        <v>37.68</v>
      </c>
    </row>
    <row r="193" spans="1:20" x14ac:dyDescent="0.25">
      <c r="A193" s="1" t="s">
        <v>25</v>
      </c>
      <c r="B193" s="17"/>
      <c r="C193" s="17"/>
      <c r="F193" s="17" t="e">
        <f t="shared" si="32"/>
        <v>#REF!</v>
      </c>
      <c r="G193" s="17" t="e">
        <f t="shared" si="32"/>
        <v>#REF!</v>
      </c>
      <c r="H193" s="18"/>
      <c r="K193" t="str">
        <f>"""GP"",""Ute Indian Tribe Membership Fund"",""Jet GL Transactions"",""Account Category Description"",""Other Expenses"",""Account Category Number"",""42"",""Account Description"",""Vehicle - Gas"",""Account Index"",""3592"",""Account Number"",""5021-0-6205-0000"",""Credit Amount"","""&amp;"0.00000"",""Debit Amount"",""50.60000"",""Document Date"",""1/1/1900"",""Document Number"",""STDINV134121"",""Document Sequence"",""32768"",""Period ID"",""2"",""Posting Type"",""Profit and Loss"",""Reference"",""Fuel"",""Row ID"",""5250270"",""Segment 1"",""5021"",""Segment 1 Description"",""U"&amp;"inta River High School"",""Segment 10"","""",""Segment 10 Description"","""",""Segment 2"",""0"",""Segment 2 Description"","""",""Segment 3"",""6205"",""Segment 3 Description"","""",""Segment 4"",""0000"",""Segment 4 Description"","""",""Segment 5"","""",""Segment 5 Description"","""",""Segment 6"&amp;""","""",""Segment 6 Description"","""",""Segment 7"","""",""Segment 7 Description"","""",""Segment 8"","""",""Segment 8 Description"","""",""Segment 9"","""",""Segment 9 Description"","""",""Transaction Amount"",""50.60000"",""Transaction Date"",""11/25/2024"",""Transaction Description"",""Fuel"","&amp;"""Vendor Name"",""UTE PETROLEUM FT DUCHESNE"",""Vendor Number"",""UTE PETROFTDUCH"",""Journal Entry"",""1581123"""</f>
        <v>"GP","Ute Indian Tribe Membership Fund","Jet GL Transactions","Account Category Description","Other Expenses","Account Category Number","42","Account Description","Vehicle - Gas","Account Index","3592","Account Number","5021-0-6205-0000","Credit Amount","0.00000","Debit Amount","50.60000","Document Date","1/1/1900","Document Number","STDINV134121","Document Sequence","32768","Period ID","2","Posting Type","Profit and Loss","Reference","Fuel","Row ID","5250270","Segment 1","5021","Segment 1 Description","Uinta River High School","Segment 10","","Segment 10 Description","","Segment 2","0","Segment 2 Description","","Segment 3","6205","Segment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Amount","50.60000","Transaction Date","11/25/2024","Transaction Description","Fuel","Vendor Name","UTE PETROLEUM FT DUCHESNE","Vendor Number","UTE PETROFTDUCH","Journal Entry","1581123"</v>
      </c>
      <c r="L193" s="19">
        <v>45621</v>
      </c>
      <c r="M193">
        <v>1581123</v>
      </c>
      <c r="N193" t="str">
        <f t="shared" si="29"/>
        <v>UTE PETROLEUM FT DUCHESNE</v>
      </c>
      <c r="O193" t="str">
        <f>"STDINV134121"</f>
        <v>STDINV134121</v>
      </c>
      <c r="P193" t="str">
        <f t="shared" si="30"/>
        <v>Fuel</v>
      </c>
      <c r="Q193" s="20" t="str">
        <f t="shared" si="30"/>
        <v>Fuel</v>
      </c>
      <c r="R193" s="21">
        <v>50.6</v>
      </c>
      <c r="S193" s="21">
        <v>0</v>
      </c>
      <c r="T193" s="22">
        <f t="shared" si="31"/>
        <v>50.6</v>
      </c>
    </row>
    <row r="194" spans="1:20" x14ac:dyDescent="0.25">
      <c r="A194" s="1" t="s">
        <v>25</v>
      </c>
      <c r="B194" s="17"/>
      <c r="C194" s="17"/>
      <c r="F194" s="17" t="e">
        <f>#REF!</f>
        <v>#REF!</v>
      </c>
      <c r="G194" s="17" t="e">
        <f>#REF!</f>
        <v>#REF!</v>
      </c>
      <c r="H194" s="18"/>
    </row>
    <row r="195" spans="1:20" x14ac:dyDescent="0.25">
      <c r="A195" s="1" t="s">
        <v>25</v>
      </c>
      <c r="I195" s="50" t="str">
        <f>I180&amp;"   "&amp;J180&amp;"         Total:"</f>
        <v>5021-0-6205-0000   Vehicle - Gas         Total:</v>
      </c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23">
        <f>SUBTOTAL(9,T181:T194)</f>
        <v>1276.53</v>
      </c>
    </row>
    <row r="196" spans="1:20" x14ac:dyDescent="0.25">
      <c r="A196" s="1" t="s">
        <v>25</v>
      </c>
    </row>
    <row r="197" spans="1:20" x14ac:dyDescent="0.25">
      <c r="A197" s="1" t="s">
        <v>25</v>
      </c>
    </row>
    <row r="198" spans="1:20" x14ac:dyDescent="0.25">
      <c r="A198" s="1" t="s">
        <v>25</v>
      </c>
      <c r="D198" s="1" t="str">
        <f>"||""Filter"",""Jet GL Transactions"",""Account Number"",""Transaction Date"",""10/1/2024..9/30/2025"",""Account Number"",""||""""Filter"""",""""Jet GL Transactions"""",""""Account Number"""",""""Segment 1"""",""""5021"""",""""Segment 2"""",""""*"""",""""Segment 4"""",""""0000|9050"""""""</f>
        <v>||"Filter","Jet GL Transactions","Account Number","Transaction Date","10/1/2024..9/30/2025","Account Number","||""Filter"",""Jet GL Transactions"",""Account Number"",""Segment 1"",""5021"",""Segment 2"",""*"",""Segment 4"",""0000|9050"""</v>
      </c>
      <c r="F198" s="1" t="str">
        <f>"5021-0-6240-0000"</f>
        <v>5021-0-6240-0000</v>
      </c>
      <c r="G198" s="1" t="str">
        <f>"5021-0-6240-0000"</f>
        <v>5021-0-6240-0000</v>
      </c>
      <c r="I198" s="15" t="str">
        <f>G198</f>
        <v>5021-0-6240-0000</v>
      </c>
      <c r="J198" s="15" t="str">
        <f>"Equipment Purchases"</f>
        <v>Equipment Purchases</v>
      </c>
      <c r="Q198" s="15"/>
      <c r="R198" s="16"/>
    </row>
    <row r="199" spans="1:20" x14ac:dyDescent="0.25">
      <c r="A199" s="1" t="s">
        <v>25</v>
      </c>
      <c r="B199" s="17"/>
      <c r="C199" s="17"/>
      <c r="F199" s="17" t="e">
        <f>#REF!</f>
        <v>#REF!</v>
      </c>
      <c r="G199" s="17" t="e">
        <f>#REF!</f>
        <v>#REF!</v>
      </c>
      <c r="H199" s="18"/>
      <c r="K199" t="str">
        <f>"""GP"",""Ute Indian Tribe Membership Fund"",""Jet GL Transactions"",""Account Category Description"",""Other Expenses"",""Account Category Number"",""42"",""Account Description"",""Equipment Purchases"",""Account Index"",""14744"",""Account Number"",""5021-0-6240-0000"",""Credit Am"&amp;"ount"",""0.00000"",""Debit Amount"",""850.40000"",""Document Date"",""1/1/1900"",""Document Number"",""111-4967695-1333824"",""Document Sequence"",""32768"",""Period ID"",""2"",""Posting Type"",""Profit and Loss"",""Reference"",""Basketballs for teams"",""Row ID"",""5214240"",""Segment 1"","""&amp;"5021"",""Segment 1 Description"",""Uinta River High School"",""Segment 10"","""",""Segment 10 Description"","""",""Segment 2"",""0"",""Segment 2 Description"","""",""Segment 3"",""6240"",""Segment 3 Description"","""",""Segment 4"",""0000"",""Segment 4 Description"","""",""Segment 5"","""",""Segm"&amp;"ent 5 Description"","""",""Segment 6"","""",""Segment 6 Description"","""",""Segment 7"","""",""Segment 7 Description"","""",""Segment 8"","""",""Segment 8 Description"","""",""Segment 9"","""",""Segment 9 Description"","""",""Transaction Amount"",""850.40000"",""Transaction Date"",""11/20/2024"","&amp;"""Transaction Description"",""Basketballs for teams"",""Vendor Name"",""Benjamin Fagnant"",""Vendor Number"",""FAGNANT, BEN"",""Journal Entry"",""1575666"""</f>
        <v>"GP","Ute Indian Tribe Membership Fund","Jet GL Transactions","Account Category Description","Other Expenses","Account Category Number","42","Account Description","Equipment Purchases","Account Index","14744","Account Number","5021-0-6240-0000","Credit Amount","0.00000","Debit Amount","850.40000","Document Date","1/1/1900","Document Number","111-4967695-1333824","Document Sequence","32768","Period ID","2","Posting Type","Profit and Loss","Reference","Basketballs for teams","Row ID","5214240","Segment 1","5021","Segment 1 Description","Uinta River High School","Segment 10","","Segment 10 Description","","Segment 2","0","Segment 2 Description","","Segment 3","6240","Segment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Amount","850.40000","Transaction Date","11/20/2024","Transaction Description","Basketballs for teams","Vendor Name","Benjamin Fagnant","Vendor Number","FAGNANT, BEN","Journal Entry","1575666"</v>
      </c>
      <c r="L199" s="19">
        <v>45616</v>
      </c>
      <c r="M199">
        <v>1575666</v>
      </c>
      <c r="N199" t="str">
        <f>"Benjamin Fagnant"</f>
        <v>Benjamin Fagnant</v>
      </c>
      <c r="O199" t="str">
        <f>"111-4967695-1333824"</f>
        <v>111-4967695-1333824</v>
      </c>
      <c r="P199" t="str">
        <f>"Basketballs for teams"</f>
        <v>Basketballs for teams</v>
      </c>
      <c r="Q199" s="20" t="str">
        <f>"Basketballs for teams"</f>
        <v>Basketballs for teams</v>
      </c>
      <c r="R199" s="21">
        <v>850.4</v>
      </c>
      <c r="S199" s="21">
        <v>0</v>
      </c>
      <c r="T199" s="22">
        <f t="shared" ref="T199:T200" si="33">SUM(R199:S199)</f>
        <v>850.4</v>
      </c>
    </row>
    <row r="200" spans="1:20" x14ac:dyDescent="0.25">
      <c r="A200" s="1" t="s">
        <v>25</v>
      </c>
      <c r="B200" s="17"/>
      <c r="C200" s="17"/>
      <c r="F200" s="17" t="e">
        <f t="shared" ref="F200:G200" si="34">F199</f>
        <v>#REF!</v>
      </c>
      <c r="G200" s="17" t="e">
        <f t="shared" si="34"/>
        <v>#REF!</v>
      </c>
      <c r="H200" s="18"/>
      <c r="K200" t="str">
        <f>"""GP"",""Ute Indian Tribe Membership Fund"",""Jet GL Transactions"",""Account Category Description"",""Other Expenses"",""Account Category Number"",""42"",""Account Description"",""Equipment Purchases"",""Account Index"",""14744"",""Account Number"",""5021-0-6240-0000"",""Credit Am"&amp;"ount"",""0.00000"",""Debit Amount"",""69.51000"",""Document Date"",""1/1/1900"",""Document Number"",""111-2674024-9803451"",""Document Sequence"",""32768"",""Period ID"",""3"",""Posting Type"",""Profit and Loss"",""Reference"",""Bull horn, school safety rules"",""Row ID"",""5225524"",""Segm"&amp;"ent 1"",""5021"",""Segment 1 Description"",""Uinta River High School"",""Segment 10"","""",""Segment 10 Description"","""",""Segment 2"",""0"",""Segment 2 Description"","""",""Segment 3"",""6240"",""Segment 3 Description"","""",""Segment 4"",""0000"",""Segment 4 Description"","""",""Segment 5"","&amp;""""",""Segment 5 Description"","""",""Segment 6"","""",""Segment 6 Description"","""",""Segment 7"","""",""Segment 7 Description"","""",""Segment 8"","""",""Segment 8 Description"","""",""Segment 9"","""",""Segment 9 Description"","""",""Transaction Amount"",""69.51000"",""Transaction Date"",""12/3/"&amp;"2024"",""Transaction Description"",""Bull horn, school safety rules"",""Vendor Name"",""Brittany A. Luck"",""Vendor Number"",""LUCK, BRITTANY"",""Journal Entry"",""1577305"""</f>
        <v>"GP","Ute Indian Tribe Membership Fund","Jet GL Transactions","Account Category Description","Other Expenses","Account Category Number","42","Account Description","Equipment Purchases","Account Index","14744","Account Number","5021-0-6240-0000","Credit Amount","0.00000","Debit Amount","69.51000","Document Date","1/1/1900","Document Number","111-2674024-9803451","Document Sequence","32768","Period ID","3","Posting Type","Profit and Loss","Reference","Bull horn, school safety rules","Row ID","5225524","Segment 1","5021","Segment 1 Description","Uinta River High School","Segment 10","","Segment 10 Description","","Segment 2","0","Segment 2 Description","","Segment 3","6240","Segment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Amount","69.51000","Transaction Date","12/3/2024","Transaction Description","Bull horn, school safety rules","Vendor Name","Brittany A. Luck","Vendor Number","LUCK, BRITTANY","Journal Entry","1577305"</v>
      </c>
      <c r="L200" s="19">
        <v>45629</v>
      </c>
      <c r="M200">
        <v>1577305</v>
      </c>
      <c r="N200" t="str">
        <f>"Brittany A. Luck"</f>
        <v>Brittany A. Luck</v>
      </c>
      <c r="O200" t="str">
        <f>"111-2674024-9803451"</f>
        <v>111-2674024-9803451</v>
      </c>
      <c r="P200" t="str">
        <f>"Bull horn, school safety rules"</f>
        <v>Bull horn, school safety rules</v>
      </c>
      <c r="Q200" s="20" t="str">
        <f>"Bull horn, school safety rules"</f>
        <v>Bull horn, school safety rules</v>
      </c>
      <c r="R200" s="21">
        <v>69.510000000000005</v>
      </c>
      <c r="S200" s="21">
        <v>0</v>
      </c>
      <c r="T200" s="22">
        <f t="shared" si="33"/>
        <v>69.510000000000005</v>
      </c>
    </row>
    <row r="201" spans="1:20" x14ac:dyDescent="0.25">
      <c r="A201" s="1" t="s">
        <v>25</v>
      </c>
      <c r="B201" s="17"/>
      <c r="C201" s="17"/>
      <c r="F201" s="17" t="e">
        <f>#REF!</f>
        <v>#REF!</v>
      </c>
      <c r="G201" s="17" t="e">
        <f>#REF!</f>
        <v>#REF!</v>
      </c>
      <c r="H201" s="18"/>
    </row>
    <row r="202" spans="1:20" x14ac:dyDescent="0.25">
      <c r="A202" s="1" t="s">
        <v>25</v>
      </c>
      <c r="I202" s="50" t="str">
        <f>I198&amp;"   "&amp;J198&amp;"         Total:"</f>
        <v>5021-0-6240-0000   Equipment Purchases         Total:</v>
      </c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23">
        <f>SUBTOTAL(9,T199:T201)</f>
        <v>919.91</v>
      </c>
    </row>
    <row r="203" spans="1:20" x14ac:dyDescent="0.25">
      <c r="A203" s="1" t="s">
        <v>25</v>
      </c>
    </row>
    <row r="204" spans="1:20" x14ac:dyDescent="0.25">
      <c r="A204" s="1" t="s">
        <v>25</v>
      </c>
    </row>
    <row r="205" spans="1:20" x14ac:dyDescent="0.25">
      <c r="A205" s="1" t="s">
        <v>25</v>
      </c>
      <c r="D205" s="1" t="str">
        <f>"||""Filter"",""Jet GL Transactions"",""Account Number"",""Transaction Date"",""10/1/2024..9/30/2025"",""Account Number"",""||""""Filter"""",""""Jet GL Transactions"""",""""Account Number"""",""""Segment 1"""",""""5021"""",""""Segment 2"""",""""*"""",""""Segment 4"""",""""0000|9050"""""""</f>
        <v>||"Filter","Jet GL Transactions","Account Number","Transaction Date","10/1/2024..9/30/2025","Account Number","||""Filter"",""Jet GL Transactions"",""Account Number"",""Segment 1"",""5021"",""Segment 2"",""*"",""Segment 4"",""0000|9050"""</v>
      </c>
      <c r="F205" s="1" t="str">
        <f>"5021-0-6248-0000"</f>
        <v>5021-0-6248-0000</v>
      </c>
      <c r="G205" s="1" t="str">
        <f>"5021-0-6248-0000"</f>
        <v>5021-0-6248-0000</v>
      </c>
      <c r="I205" s="15" t="str">
        <f>G205</f>
        <v>5021-0-6248-0000</v>
      </c>
      <c r="J205" s="15" t="str">
        <f>"High School Building Construction"</f>
        <v>High School Building Construction</v>
      </c>
      <c r="Q205" s="15"/>
      <c r="R205" s="16"/>
    </row>
    <row r="206" spans="1:20" x14ac:dyDescent="0.25">
      <c r="A206" s="1" t="s">
        <v>25</v>
      </c>
      <c r="B206" s="17"/>
      <c r="C206" s="17"/>
      <c r="F206" s="17" t="str">
        <f>F205</f>
        <v>5021-0-6248-0000</v>
      </c>
      <c r="G206" s="17" t="str">
        <f>G205</f>
        <v>5021-0-6248-0000</v>
      </c>
      <c r="H206" s="18"/>
      <c r="K206" t="str">
        <f>"""GP"",""Ute Indian Tribe Membership Fund"",""Jet GL Transactions"",""Account Category Description"",""Other Expenses"",""Account Category Number"",""42"",""Account Description"",""High School Building Construction"",""Account Index"",""22311"",""Account Number"",""5021-0-6248-00"&amp;"00"",""Credit Amount"",""0.00000"",""Debit Amount"",""9345.00000"",""Document Date"",""1/1/1900"",""Document Number"",""21505-11"",""Document Sequence"",""32768"",""Period ID"",""2"",""Posting Type"",""Profit and Loss"",""Reference"",""Draw #14"",""Row ID"",""5250129"",""Segment 1"",""5021"",""Se"&amp;"gment 1 Description"",""Uinta River High School"",""Segment 10"","""",""Segment 10 Description"","""",""Segment 2"",""0"",""Segment 2 Description"","""",""Segment 3"",""6248"",""Segment 3 Description"","""",""Segment 4"",""0000"",""Segment 4 Description"","""",""Segment 5"","""",""Segment 5 Des"&amp;"cription"","""",""Segment 6"","""",""Segment 6 Description"","""",""Segment 7"","""",""Segment 7 Description"","""",""Segment 8"","""",""Segment 8 Description"","""",""Segment 9"","""",""Segment 9 Description"","""",""Transaction Amount"",""9345.00000"",""Transaction Date"",""11/21/2024"",""Transac"&amp;"tion Description"",""Draw #14"",""Vendor Name"",""BCDW, PC"",""Vendor Number"",""BABCOCK DESIGN"",""Journal Entry"",""1581073"""</f>
        <v>"GP","Ute Indian Tribe Membership Fund","Jet GL Transactions","Account Category Description","Other Expenses","Account Category Number","42","Account Description","High School Building Construction","Account Index","22311","Account Number","5021-0-6248-0000","Credit Amount","0.00000","Debit Amount","9345.00000","Document Date","1/1/1900","Document Number","21505-11","Document Sequence","32768","Period ID","2","Posting Type","Profit and Loss","Reference","Draw #14","Row ID","5250129","Segment 1","5021","Segment 1 Description","Uinta River High School","Segment 10","","Segment 10 Description","","Segment 2","0","Segment 2 Description","","Segment 3","6248","Segment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Amount","9345.00000","Transaction Date","11/21/2024","Transaction Description","Draw #14","Vendor Name","BCDW, PC","Vendor Number","BABCOCK DESIGN","Journal Entry","1581073"</v>
      </c>
      <c r="L206" s="19">
        <v>45617</v>
      </c>
      <c r="M206">
        <v>1581073</v>
      </c>
      <c r="N206" t="str">
        <f>"BCDW, PC"</f>
        <v>BCDW, PC</v>
      </c>
      <c r="O206" t="str">
        <f>"21505-11"</f>
        <v>21505-11</v>
      </c>
      <c r="P206" t="str">
        <f>"Draw #14"</f>
        <v>Draw #14</v>
      </c>
      <c r="Q206" s="20" t="str">
        <f>"Draw #14"</f>
        <v>Draw #14</v>
      </c>
      <c r="R206" s="21">
        <v>9345</v>
      </c>
      <c r="S206" s="21">
        <v>0</v>
      </c>
      <c r="T206" s="22">
        <f t="shared" ref="T206:T207" si="35">SUM(R206:S206)</f>
        <v>9345</v>
      </c>
    </row>
    <row r="207" spans="1:20" x14ac:dyDescent="0.25">
      <c r="A207" s="1" t="s">
        <v>25</v>
      </c>
      <c r="B207" s="17"/>
      <c r="C207" s="17"/>
      <c r="F207" s="17" t="str">
        <f>F206</f>
        <v>5021-0-6248-0000</v>
      </c>
      <c r="G207" s="17" t="str">
        <f>G206</f>
        <v>5021-0-6248-0000</v>
      </c>
      <c r="H207" s="18"/>
      <c r="K207" t="str">
        <f>"""GP"",""Ute Indian Tribe Membership Fund"",""Jet GL Transactions"",""Account Category Description"",""Other Expenses"",""Account Category Number"",""42"",""Account Description"",""High School Building Construction"",""Account Index"",""22311"",""Account Number"",""5021-0-6248-00"&amp;"00"",""Credit Amount"",""0.00000"",""Debit Amount"",""12843.67000"",""Document Date"",""1/1/1900"",""Document Number"",""2024-003-14"",""Document Sequence"",""32768"",""Period ID"",""2"",""Posting Type"",""Profit and Loss"",""Reference"",""Draw #14"",""Row ID"",""5250127"",""Segment 1"",""5021"""&amp;",""Segment 1 Description"",""Uinta River High School"",""Segment 10"","""",""Segment 10 Description"","""",""Segment 2"",""0"",""Segment 2 Description"","""",""Segment 3"",""6248"",""Segment 3 Description"","""",""Segment 4"",""0000"",""Segment 4 Description"","""",""Segment 5"","""",""Segment 5"&amp;" Description"","""",""Segment 6"","""",""Segment 6 Description"","""",""Segment 7"","""",""Segment 7 Description"","""",""Segment 8"","""",""Segment 8 Description"","""",""Segment 9"","""",""Segment 9 Description"","""",""Transaction Amount"",""12843.67000"",""Transaction Date"",""11/21/2024"",""Tr"&amp;"ansaction Description"",""Draw #14"",""Vendor Name"",""ODYSSEY PARTNERS, LLC"",""Vendor Number"",""ODYSSEY PARTNER"",""Journal Entry"",""1581072"""</f>
        <v>"GP","Ute Indian Tribe Membership Fund","Jet GL Transactions","Account Category Description","Other Expenses","Account Category Number","42","Account Description","High School Building Construction","Account Index","22311","Account Number","5021-0-6248-0000","Credit Amount","0.00000","Debit Amount","12843.67000","Document Date","1/1/1900","Document Number","2024-003-14","Document Sequence","32768","Period ID","2","Posting Type","Profit and Loss","Reference","Draw #14","Row ID","5250127","Segment 1","5021","Segment 1 Description","Uinta River High School","Segment 10","","Segment 10 Description","","Segment 2","0","Segment 2 Description","","Segment 3","6248","Segment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Amount","12843.67000","Transaction Date","11/21/2024","Transaction Description","Draw #14","Vendor Name","ODYSSEY PARTNERS, LLC","Vendor Number","ODYSSEY PARTNER","Journal Entry","1581072"</v>
      </c>
      <c r="L207" s="19">
        <v>45617</v>
      </c>
      <c r="M207">
        <v>1581072</v>
      </c>
      <c r="N207" t="str">
        <f>"ODYSSEY PARTNERS, LLC"</f>
        <v>ODYSSEY PARTNERS, LLC</v>
      </c>
      <c r="O207" t="str">
        <f>"2024-003-14"</f>
        <v>2024-003-14</v>
      </c>
      <c r="P207" t="str">
        <f>"Draw #14"</f>
        <v>Draw #14</v>
      </c>
      <c r="Q207" s="20" t="str">
        <f>"Draw #14"</f>
        <v>Draw #14</v>
      </c>
      <c r="R207" s="21">
        <v>12843.67</v>
      </c>
      <c r="S207" s="21">
        <v>0</v>
      </c>
      <c r="T207" s="22">
        <f t="shared" si="35"/>
        <v>12843.67</v>
      </c>
    </row>
    <row r="208" spans="1:20" x14ac:dyDescent="0.25">
      <c r="A208" s="1" t="s">
        <v>25</v>
      </c>
      <c r="B208" s="17"/>
      <c r="C208" s="17"/>
      <c r="F208" s="17" t="str">
        <f>F206</f>
        <v>5021-0-6248-0000</v>
      </c>
      <c r="G208" s="17" t="str">
        <f>G206</f>
        <v>5021-0-6248-0000</v>
      </c>
      <c r="H208" s="18"/>
    </row>
    <row r="209" spans="1:20" x14ac:dyDescent="0.25">
      <c r="A209" s="1" t="s">
        <v>25</v>
      </c>
      <c r="I209" s="50" t="str">
        <f>I205&amp;"   "&amp;J205&amp;"         Total:"</f>
        <v>5021-0-6248-0000   High School Building Construction         Total:</v>
      </c>
      <c r="J209" s="50"/>
      <c r="K209" s="50"/>
      <c r="L209" s="50"/>
      <c r="M209" s="50"/>
      <c r="N209" s="50"/>
      <c r="O209" s="50"/>
      <c r="P209" s="50"/>
      <c r="Q209" s="50"/>
      <c r="R209" s="50"/>
      <c r="S209" s="50"/>
      <c r="T209" s="23">
        <f t="shared" ref="T209" si="36">SUBTOTAL(9,T206:T208)</f>
        <v>22188.67</v>
      </c>
    </row>
    <row r="210" spans="1:20" x14ac:dyDescent="0.25">
      <c r="A210" s="1" t="s">
        <v>25</v>
      </c>
    </row>
    <row r="211" spans="1:20" x14ac:dyDescent="0.25">
      <c r="A211" s="1" t="s">
        <v>25</v>
      </c>
    </row>
    <row r="212" spans="1:20" x14ac:dyDescent="0.25">
      <c r="A212" s="1" t="s">
        <v>25</v>
      </c>
      <c r="D212" s="1" t="str">
        <f>"||""Filter"",""Jet GL Transactions"",""Account Number"",""Transaction Date"",""10/1/2024..9/30/2025"",""Account Number"",""||""""Filter"""",""""Jet GL Transactions"""",""""Account Number"""",""""Segment 1"""",""""5021"""",""""Segment 2"""",""""*"""",""""Segment 4"""",""""0000|9050"""""""</f>
        <v>||"Filter","Jet GL Transactions","Account Number","Transaction Date","10/1/2024..9/30/2025","Account Number","||""Filter"",""Jet GL Transactions"",""Account Number"",""Segment 1"",""5021"",""Segment 2"",""*"",""Segment 4"",""0000|9050"""</v>
      </c>
      <c r="F212" s="1" t="str">
        <f>"5021-0-6310-0000"</f>
        <v>5021-0-6310-0000</v>
      </c>
      <c r="G212" s="1" t="str">
        <f>"5021-0-6310-0000"</f>
        <v>5021-0-6310-0000</v>
      </c>
      <c r="I212" s="15" t="str">
        <f>G212</f>
        <v>5021-0-6310-0000</v>
      </c>
      <c r="J212" s="15" t="str">
        <f>"Telephone"</f>
        <v>Telephone</v>
      </c>
      <c r="Q212" s="15"/>
      <c r="R212" s="16"/>
    </row>
    <row r="213" spans="1:20" x14ac:dyDescent="0.25">
      <c r="A213" s="1" t="s">
        <v>25</v>
      </c>
      <c r="B213" s="17"/>
      <c r="C213" s="17"/>
      <c r="F213" s="17" t="e">
        <f>#REF!</f>
        <v>#REF!</v>
      </c>
      <c r="G213" s="17" t="e">
        <f>#REF!</f>
        <v>#REF!</v>
      </c>
      <c r="H213" s="18"/>
      <c r="K213" t="str">
        <f>"""GP"",""Ute Indian Tribe Membership Fund"",""Jet GL Transactions"",""Account Category Description"",""Other Expenses"",""Account Category Number"",""42"",""Account Description"",""Telephone"",""Account Index"",""7859"",""Account Number"",""5021-0-6310-0000"",""Credit Amount"",""0.00"&amp;"000"",""Debit Amount"",""44.72000"",""Document Date"",""1/1/1900"",""Document Number"",""005891503"",""Document Sequence"",""32768"",""Period ID"",""2"",""Posting Type"",""Profit and Loss"",""Reference"",""723502-URHS"",""Row ID"",""5229194"",""Segment 1"",""5021"",""Segment 1 Description"",""U"&amp;"inta River High School"",""Segment 10"","""",""Segment 10 Description"","""",""Segment 2"",""0"",""Segment 2 Description"","""",""Segment 3"",""6310"",""Segment 3 Description"","""",""Segment 4"",""0000"",""Segment 4 Description"","""",""Segment 5"","""",""Segment 5 Description"","""",""Segment 6"&amp;""","""",""Segment 6 Description"","""",""Segment 7"","""",""Segment 7 Description"","""",""Segment 8"","""",""Segment 8 Description"","""",""Segment 9"","""",""Segment 9 Description"","""",""Transaction Amount"",""44.72000"",""Transaction Date"",""11/30/2024"",""Transaction Description"",""723502"&amp;"-URHS"",""Vendor Name"",""STRATA NETWORKS"",""Vendor Number"",""UBTA COMMU01"",""Journal Entry"",""1578213"""</f>
        <v>"GP","Ute Indian Tribe Membership Fund","Jet GL Transactions","Account Category Description","Other Expenses","Account Category Number","42","Account Description","Telephone","Account Index","7859","Account Number","5021-0-6310-0000","Credit Amount","0.00000","Debit Amount","44.72000","Document Date","1/1/1900","Document Number","005891503","Document Sequence","32768","Period ID","2","Posting Type","Profit and Loss","Reference","723502-URHS","Row ID","5229194","Segment 1","5021","Segment 1 Description","Uinta River High School","Segment 10","","Segment 10 Description","","Segment 2","0","Segment 2 Description","","Segment 3","6310","Segment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Amount","44.72000","Transaction Date","11/30/2024","Transaction Description","723502-URHS","Vendor Name","STRATA NETWORKS","Vendor Number","UBTA COMMU01","Journal Entry","1578213"</v>
      </c>
      <c r="L213" s="19">
        <v>45626</v>
      </c>
      <c r="M213">
        <v>1578213</v>
      </c>
      <c r="N213" t="str">
        <f>"STRATA NETWORKS"</f>
        <v>STRATA NETWORKS</v>
      </c>
      <c r="O213" t="str">
        <f>"005891503"</f>
        <v>005891503</v>
      </c>
      <c r="P213" t="str">
        <f>"723502-URHS"</f>
        <v>723502-URHS</v>
      </c>
      <c r="Q213" s="20" t="str">
        <f>"723502-URHS"</f>
        <v>723502-URHS</v>
      </c>
      <c r="R213" s="21">
        <v>44.72</v>
      </c>
      <c r="S213" s="21">
        <v>0</v>
      </c>
      <c r="T213" s="22">
        <f t="shared" ref="T213:T214" si="37">SUM(R213:S213)</f>
        <v>44.72</v>
      </c>
    </row>
    <row r="214" spans="1:20" x14ac:dyDescent="0.25">
      <c r="A214" s="1" t="s">
        <v>25</v>
      </c>
      <c r="B214" s="17"/>
      <c r="C214" s="17"/>
      <c r="F214" s="17" t="e">
        <f t="shared" ref="F214:G214" si="38">F213</f>
        <v>#REF!</v>
      </c>
      <c r="G214" s="17" t="e">
        <f t="shared" si="38"/>
        <v>#REF!</v>
      </c>
      <c r="H214" s="18"/>
      <c r="K214" t="str">
        <f>"""GP"",""Ute Indian Tribe Membership Fund"",""Jet GL Transactions"",""Account Category Description"",""Other Expenses"",""Account Category Number"",""42"",""Account Description"",""Telephone"",""Account Index"",""7859"",""Account Number"",""5021-0-6310-0000"",""Credit Amount"",""0.00"&amp;"000"",""Debit Amount"",""54.06000"",""Document Date"",""1/1/1900"",""Document Number"",""005898070"",""Document Sequence"",""32768"",""Period ID"",""2"",""Posting Type"",""Profit and Loss"",""Reference"",""878876-URHS"",""Row ID"",""5229078"",""Segment 1"",""5021"",""Segment 1 Description"",""U"&amp;"inta River High School"",""Segment 10"","""",""Segment 10 Description"","""",""Segment 2"",""0"",""Segment 2 Description"","""",""Segment 3"",""6310"",""Segment 3 Description"","""",""Segment 4"",""0000"",""Segment 4 Description"","""",""Segment 5"","""",""Segment 5 Description"","""",""Segment 6"&amp;""","""",""Segment 6 Description"","""",""Segment 7"","""",""Segment 7 Description"","""",""Segment 8"","""",""Segment 8 Description"","""",""Segment 9"","""",""Segment 9 Description"","""",""Transaction Amount"",""54.06000"",""Transaction Date"",""11/30/2024"",""Transaction Description"",""878876"&amp;"-URHS"",""Vendor Name"",""STRATA NETWORKS"",""Vendor Number"",""UBET WIRE01"",""Journal Entry"",""1578156"""</f>
        <v>"GP","Ute Indian Tribe Membership Fund","Jet GL Transactions","Account Category Description","Other Expenses","Account Category Number","42","Account Description","Telephone","Account Index","7859","Account Number","5021-0-6310-0000","Credit Amount","0.00000","Debit Amount","54.06000","Document Date","1/1/1900","Document Number","005898070","Document Sequence","32768","Period ID","2","Posting Type","Profit and Loss","Reference","878876-URHS","Row ID","5229078","Segment 1","5021","Segment 1 Description","Uinta River High School","Segment 10","","Segment 10 Description","","Segment 2","0","Segment 2 Description","","Segment 3","6310","Segment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Amount","54.06000","Transaction Date","11/30/2024","Transaction Description","878876-URHS","Vendor Name","STRATA NETWORKS","Vendor Number","UBET WIRE01","Journal Entry","1578156"</v>
      </c>
      <c r="L214" s="19">
        <v>45626</v>
      </c>
      <c r="M214">
        <v>1578156</v>
      </c>
      <c r="N214" t="str">
        <f>"STRATA NETWORKS"</f>
        <v>STRATA NETWORKS</v>
      </c>
      <c r="O214" t="str">
        <f>"005898070"</f>
        <v>005898070</v>
      </c>
      <c r="P214" t="str">
        <f>"878876-URHS"</f>
        <v>878876-URHS</v>
      </c>
      <c r="Q214" s="20" t="str">
        <f>"878876-URHS"</f>
        <v>878876-URHS</v>
      </c>
      <c r="R214" s="21">
        <v>54.06</v>
      </c>
      <c r="S214" s="21">
        <v>0</v>
      </c>
      <c r="T214" s="22">
        <f t="shared" si="37"/>
        <v>54.06</v>
      </c>
    </row>
    <row r="215" spans="1:20" x14ac:dyDescent="0.25">
      <c r="A215" s="1" t="s">
        <v>25</v>
      </c>
      <c r="B215" s="17"/>
      <c r="C215" s="17"/>
      <c r="F215" s="17" t="e">
        <f>#REF!</f>
        <v>#REF!</v>
      </c>
      <c r="G215" s="17" t="e">
        <f>#REF!</f>
        <v>#REF!</v>
      </c>
      <c r="H215" s="18"/>
    </row>
    <row r="216" spans="1:20" x14ac:dyDescent="0.25">
      <c r="A216" s="1" t="s">
        <v>25</v>
      </c>
      <c r="I216" s="50" t="str">
        <f>I212&amp;"   "&amp;J212&amp;"         Total:"</f>
        <v>5021-0-6310-0000   Telephone         Total:</v>
      </c>
      <c r="J216" s="50"/>
      <c r="K216" s="50"/>
      <c r="L216" s="50"/>
      <c r="M216" s="50"/>
      <c r="N216" s="50"/>
      <c r="O216" s="50"/>
      <c r="P216" s="50"/>
      <c r="Q216" s="50"/>
      <c r="R216" s="50"/>
      <c r="S216" s="50"/>
      <c r="T216" s="23">
        <f>SUBTOTAL(9,T213:T215)</f>
        <v>98.78</v>
      </c>
    </row>
    <row r="217" spans="1:20" x14ac:dyDescent="0.25">
      <c r="A217" s="1" t="s">
        <v>25</v>
      </c>
    </row>
    <row r="218" spans="1:20" x14ac:dyDescent="0.25">
      <c r="A218" s="1" t="s">
        <v>25</v>
      </c>
    </row>
    <row r="219" spans="1:20" x14ac:dyDescent="0.25">
      <c r="A219" s="1" t="s">
        <v>25</v>
      </c>
      <c r="D219" s="1" t="str">
        <f>"||""Filter"",""Jet GL Transactions"",""Account Number"",""Transaction Date"",""10/1/2024..9/30/2025"",""Account Number"",""||""""Filter"""",""""Jet GL Transactions"""",""""Account Number"""",""""Segment 1"""",""""5021"""",""""Segment 2"""",""""*"""",""""Segment 4"""",""""0000|9050"""""""</f>
        <v>||"Filter","Jet GL Transactions","Account Number","Transaction Date","10/1/2024..9/30/2025","Account Number","||""Filter"",""Jet GL Transactions"",""Account Number"",""Segment 1"",""5021"",""Segment 2"",""*"",""Segment 4"",""0000|9050"""</v>
      </c>
      <c r="F219" s="1" t="str">
        <f>"5021-0-6410-0000"</f>
        <v>5021-0-6410-0000</v>
      </c>
      <c r="G219" s="1" t="str">
        <f>"5021-0-6410-0000"</f>
        <v>5021-0-6410-0000</v>
      </c>
      <c r="I219" s="15" t="str">
        <f>G219</f>
        <v>5021-0-6410-0000</v>
      </c>
      <c r="J219" s="15" t="str">
        <f>"Materials and Supplies"</f>
        <v>Materials and Supplies</v>
      </c>
      <c r="Q219" s="15"/>
      <c r="R219" s="16"/>
    </row>
    <row r="220" spans="1:20" x14ac:dyDescent="0.25">
      <c r="A220" s="1" t="s">
        <v>25</v>
      </c>
      <c r="B220" s="17"/>
      <c r="C220" s="17"/>
      <c r="F220" s="17" t="e">
        <f>#REF!</f>
        <v>#REF!</v>
      </c>
      <c r="G220" s="17" t="e">
        <f>#REF!</f>
        <v>#REF!</v>
      </c>
      <c r="H220" s="18"/>
      <c r="K220" t="str">
        <f>"""GP"",""Ute Indian Tribe Membership Fund"",""Jet GL Transactions"",""Account Category Description"",""Other Expenses"",""Account Category Number"",""42"",""Account Description"",""Materials and Supplies"",""Account Index"",""17364"",""Account Number"",""5021-0-6410-0000"",""Credit"&amp;" Amount"",""0.00000"",""Debit Amount"",""79.96000"",""Document Date"",""1/1/1900"",""Document Number"",""11/08/2024"",""Document Sequence"",""32768"",""Period ID"",""2"",""Posting Type"",""Profit and Loss"",""Reference"",""Fry bread flour"",""Row ID"",""5202017"",""Segment 1"",""5021"",""Segmen"&amp;"t 1 Description"",""Uinta River High School"",""Segment 10"","""",""Segment 10 Description"","""",""Segment 2"",""0"",""Segment 2 Description"","""",""Segment 3"",""6410"",""Segment 3 Description"","""",""Segment 4"",""0000"",""Segment 4 Description"","""",""Segment 5"","""",""Segment 5 Descrip"&amp;"tion"","""",""Segment 6"","""",""Segment 6 Description"","""",""Segment 7"","""",""Segment 7 Description"","""",""Segment 8"","""",""Segment 8 Description"","""",""Segment 9"","""",""Segment 9 Description"","""",""Transaction Amount"",""79.96000"",""Transaction Date"",""11/8/2024"",""Transaction De"&amp;"scription"",""Fry bread flour"",""Vendor Name"",""Emeline Root"",""Vendor Number"",""ZZ01523"",""Journal Entry"",""1573418"""</f>
        <v>"GP","Ute Indian Tribe Membership Fund","Jet GL Transactions","Account Category Description","Other Expenses","Account Category Number","42","Account Description","Materials and Supplies","Account Index","17364","Account Number","5021-0-6410-0000","Credit Amount","0.00000","Debit Amount","79.96000","Document Date","1/1/1900","Document Number","11/08/2024","Document Sequence","32768","Period ID","2","Posting Type","Profit and Loss","Reference","Fry bread flour","Row ID","5202017","Segment 1","5021","Segment 1 Description","Uinta River High School","Segment 10","","Segment 10 Description","","Segment 2","0","Segment 2 Description","","Segment 3","6410","Segment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Amount","79.96000","Transaction Date","11/8/2024","Transaction Description","Fry bread flour","Vendor Name","Emeline Root","Vendor Number","ZZ01523","Journal Entry","1573418"</v>
      </c>
      <c r="L220" s="19">
        <v>45604</v>
      </c>
      <c r="M220">
        <v>1573418</v>
      </c>
      <c r="N220" t="str">
        <f>"Emeline Root"</f>
        <v>Emeline Root</v>
      </c>
      <c r="O220" t="str">
        <f>"11/08/2024"</f>
        <v>11/08/2024</v>
      </c>
      <c r="P220" t="str">
        <f>"Fry bread flour"</f>
        <v>Fry bread flour</v>
      </c>
      <c r="Q220" s="20" t="str">
        <f>"Fry bread flour"</f>
        <v>Fry bread flour</v>
      </c>
      <c r="R220" s="21">
        <v>79.959999999999994</v>
      </c>
      <c r="S220" s="21">
        <v>0</v>
      </c>
      <c r="T220" s="22">
        <f t="shared" ref="T220:T226" si="39">SUM(R220:S220)</f>
        <v>79.959999999999994</v>
      </c>
    </row>
    <row r="221" spans="1:20" x14ac:dyDescent="0.25">
      <c r="A221" s="1" t="s">
        <v>25</v>
      </c>
      <c r="B221" s="17"/>
      <c r="C221" s="17"/>
      <c r="F221" s="17" t="e">
        <f t="shared" ref="F221:G226" si="40">F220</f>
        <v>#REF!</v>
      </c>
      <c r="G221" s="17" t="e">
        <f t="shared" si="40"/>
        <v>#REF!</v>
      </c>
      <c r="H221" s="18"/>
      <c r="K221" t="str">
        <f>"""GP"",""Ute Indian Tribe Membership Fund"",""Jet GL Transactions"",""Account Category Description"",""Other Expenses"",""Account Category Number"",""42"",""Account Description"",""Materials and Supplies"",""Account Index"",""17364"",""Account Number"",""5021-0-6410-0000"",""Credit"&amp;" Amount"",""0.00000"",""Debit Amount"",""21.30000"",""Document Date"",""1/1/1900"",""Document Number"",""000540"",""Document Sequence"",""32768"",""Period ID"",""2"",""Posting Type"",""Profit and Loss"",""Reference"",""Supplies"",""Row ID"",""5225146"",""Segment 1"",""5021"",""Segment 1 Descrip"&amp;"tion"",""Uinta River High School"",""Segment 10"","""",""Segment 10 Description"","""",""Segment 2"",""0"",""Segment 2 Description"","""",""Segment 3"",""6410"",""Segment 3 Description"","""",""Segment 4"",""0000"",""Segment 4 Description"","""",""Segment 5"","""",""Segment 5 Description"","""",""S"&amp;"egment 6"","""",""Segment 6 Description"","""",""Segment 7"","""",""Segment 7 Description"","""",""Segment 8"","""",""Segment 8 Description"","""",""Segment 9"","""",""Segment 9 Description"","""",""Transaction Amount"",""21.30000"",""Transaction Date"",""11/20/2024"",""Transaction Description"""&amp;",""Supplies"",""Vendor Name"",""Benjamin Fagnant"",""Vendor Number"",""FAGNANT, BEN"",""Journal Entry"",""1577136"""</f>
        <v>"GP","Ute Indian Tribe Membership Fund","Jet GL Transactions","Account Category Description","Other Expenses","Account Category Number","42","Account Description","Materials and Supplies","Account Index","17364","Account Number","5021-0-6410-0000","Credit Amount","0.00000","Debit Amount","21.30000","Document Date","1/1/1900","Document Number","000540","Document Sequence","32768","Period ID","2","Posting Type","Profit and Loss","Reference","Supplies","Row ID","5225146","Segment 1","5021","Segment 1 Description","Uinta River High School","Segment 10","","Segment 10 Description","","Segment 2","0","Segment 2 Description","","Segment 3","6410","Segment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Amount","21.30000","Transaction Date","11/20/2024","Transaction Description","Supplies","Vendor Name","Benjamin Fagnant","Vendor Number","FAGNANT, BEN","Journal Entry","1577136"</v>
      </c>
      <c r="L221" s="19">
        <v>45616</v>
      </c>
      <c r="M221">
        <v>1577136</v>
      </c>
      <c r="N221" t="str">
        <f>"Benjamin Fagnant"</f>
        <v>Benjamin Fagnant</v>
      </c>
      <c r="O221" t="str">
        <f>"000540"</f>
        <v>000540</v>
      </c>
      <c r="P221" t="str">
        <f>"Supplies"</f>
        <v>Supplies</v>
      </c>
      <c r="Q221" s="20" t="str">
        <f>"Supplies"</f>
        <v>Supplies</v>
      </c>
      <c r="R221" s="21">
        <v>21.3</v>
      </c>
      <c r="S221" s="21">
        <v>0</v>
      </c>
      <c r="T221" s="22">
        <f t="shared" si="39"/>
        <v>21.3</v>
      </c>
    </row>
    <row r="222" spans="1:20" x14ac:dyDescent="0.25">
      <c r="A222" s="1" t="s">
        <v>25</v>
      </c>
      <c r="B222" s="17"/>
      <c r="C222" s="17"/>
      <c r="F222" s="17" t="e">
        <f t="shared" si="40"/>
        <v>#REF!</v>
      </c>
      <c r="G222" s="17" t="e">
        <f t="shared" si="40"/>
        <v>#REF!</v>
      </c>
      <c r="H222" s="18"/>
      <c r="K222" t="str">
        <f>"""GP"",""Ute Indian Tribe Membership Fund"",""Jet GL Transactions"",""Account Category Description"",""Other Expenses"",""Account Category Number"",""42"",""Account Description"",""Materials and Supplies"",""Account Index"",""17364"",""Account Number"",""5021-0-6410-0000"",""Credit"&amp;" Amount"",""0.00000"",""Debit Amount"",""230.34000"",""Document Date"",""1/1/1900"",""Document Number"",""111-7078311-3675431"",""Document Sequence"",""32768"",""Period ID"",""2"",""Posting Type"",""Profit and Loss"",""Reference"",""Supplies"",""Row ID"",""5225142"",""Segment 1"",""5021"",""Seg"&amp;"ment 1 Description"",""Uinta River High School"",""Segment 10"","""",""Segment 10 Description"","""",""Segment 2"",""0"",""Segment 2 Description"","""",""Segment 3"",""6410"",""Segment 3 Description"","""",""Segment 4"",""0000"",""Segment 4 Description"","""",""Segment 5"","""",""Segment 5 Desc"&amp;"ription"","""",""Segment 6"","""",""Segment 6 Description"","""",""Segment 7"","""",""Segment 7 Description"","""",""Segment 8"","""",""Segment 8 Description"","""",""Segment 9"","""",""Segment 9 Description"","""",""Transaction Amount"",""230.34000"",""Transaction Date"",""11/20/2024"",""Transacti"&amp;"on Description"",""Supplies"",""Vendor Name"",""Benjamin Fagnant"",""Vendor Number"",""FAGNANT, BEN"",""Journal Entry"",""1577134"""</f>
        <v>"GP","Ute Indian Tribe Membership Fund","Jet GL Transactions","Account Category Description","Other Expenses","Account Category Number","42","Account Description","Materials and Supplies","Account Index","17364","Account Number","5021-0-6410-0000","Credit Amount","0.00000","Debit Amount","230.34000","Document Date","1/1/1900","Document Number","111-7078311-3675431","Document Sequence","32768","Period ID","2","Posting Type","Profit and Loss","Reference","Supplies","Row ID","5225142","Segment 1","5021","Segment 1 Description","Uinta River High School","Segment 10","","Segment 10 Description","","Segment 2","0","Segment 2 Description","","Segment 3","6410","Segment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Amount","230.34000","Transaction Date","11/20/2024","Transaction Description","Supplies","Vendor Name","Benjamin Fagnant","Vendor Number","FAGNANT, BEN","Journal Entry","1577134"</v>
      </c>
      <c r="L222" s="19">
        <v>45616</v>
      </c>
      <c r="M222">
        <v>1577134</v>
      </c>
      <c r="N222" t="str">
        <f>"Benjamin Fagnant"</f>
        <v>Benjamin Fagnant</v>
      </c>
      <c r="O222" t="str">
        <f>"111-7078311-3675431"</f>
        <v>111-7078311-3675431</v>
      </c>
      <c r="P222" t="str">
        <f>"Supplies"</f>
        <v>Supplies</v>
      </c>
      <c r="Q222" s="20" t="str">
        <f>"Supplies"</f>
        <v>Supplies</v>
      </c>
      <c r="R222" s="21">
        <v>230.34</v>
      </c>
      <c r="S222" s="21">
        <v>0</v>
      </c>
      <c r="T222" s="22">
        <f t="shared" si="39"/>
        <v>230.34</v>
      </c>
    </row>
    <row r="223" spans="1:20" x14ac:dyDescent="0.25">
      <c r="A223" s="1" t="s">
        <v>25</v>
      </c>
      <c r="B223" s="17"/>
      <c r="C223" s="17"/>
      <c r="F223" s="17" t="e">
        <f t="shared" si="40"/>
        <v>#REF!</v>
      </c>
      <c r="G223" s="17" t="e">
        <f t="shared" si="40"/>
        <v>#REF!</v>
      </c>
      <c r="H223" s="18"/>
      <c r="K223" t="str">
        <f>"""GP"",""Ute Indian Tribe Membership Fund"",""Jet GL Transactions"",""Account Category Description"",""Other Expenses"",""Account Category Number"",""42"",""Account Description"",""Materials and Supplies"",""Account Index"",""17364"",""Account Number"",""5021-0-6410-0000"",""Credit"&amp;" Amount"",""0.00000"",""Debit Amount"",""144.00000"",""Document Date"",""1/1/1900"",""Document Number"",""ES199186"",""Document Sequence"",""32768"",""Period ID"",""3"",""Posting Type"",""Profit and Loss"",""Reference"",""Toner"",""Row ID"",""5232285"",""Segment 1"",""5021"",""Segment 1 Descrip"&amp;"tion"",""Uinta River High School"",""Segment 10"","""",""Segment 10 Description"","""",""Segment 2"",""0"",""Segment 2 Description"","""",""Segment 3"",""6410"",""Segment 3 Description"","""",""Segment 4"",""0000"",""Segment 4 Description"","""",""Segment 5"","""",""Segment 5 Description"","""",""S"&amp;"egment 6"","""",""Segment 6 Description"","""",""Segment 7"","""",""Segment 7 Description"","""",""Segment 8"","""",""Segment 8 Description"","""",""Segment 9"","""",""Segment 9 Description"","""",""Transaction Amount"",""144.00000"",""Transaction Date"",""12/5/2024"",""Transaction Description"""&amp;",""Toner"",""Vendor Name"",""LES OLSON COMPANY"",""Vendor Number"",""LES OLSON01"",""Journal Entry"",""1579148"""</f>
        <v>"GP","Ute Indian Tribe Membership Fund","Jet GL Transactions","Account Category Description","Other Expenses","Account Category Number","42","Account Description","Materials and Supplies","Account Index","17364","Account Number","5021-0-6410-0000","Credit Amount","0.00000","Debit Amount","144.00000","Document Date","1/1/1900","Document Number","ES199186","Document Sequence","32768","Period ID","3","Posting Type","Profit and Loss","Reference","Toner","Row ID","5232285","Segment 1","5021","Segment 1 Description","Uinta River High School","Segment 10","","Segment 10 Description","","Segment 2","0","Segment 2 Description","","Segment 3","6410","Segment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Amount","144.00000","Transaction Date","12/5/2024","Transaction Description","Toner","Vendor Name","LES OLSON COMPANY","Vendor Number","LES OLSON01","Journal Entry","1579148"</v>
      </c>
      <c r="L223" s="19">
        <v>45631</v>
      </c>
      <c r="M223">
        <v>1579148</v>
      </c>
      <c r="N223" t="str">
        <f>"LES OLSON COMPANY"</f>
        <v>LES OLSON COMPANY</v>
      </c>
      <c r="O223" t="str">
        <f>"ES199186"</f>
        <v>ES199186</v>
      </c>
      <c r="P223" t="str">
        <f>"Toner"</f>
        <v>Toner</v>
      </c>
      <c r="Q223" s="20" t="str">
        <f>"Toner"</f>
        <v>Toner</v>
      </c>
      <c r="R223" s="21">
        <v>144</v>
      </c>
      <c r="S223" s="21">
        <v>0</v>
      </c>
      <c r="T223" s="22">
        <f t="shared" si="39"/>
        <v>144</v>
      </c>
    </row>
    <row r="224" spans="1:20" x14ac:dyDescent="0.25">
      <c r="A224" s="1" t="s">
        <v>25</v>
      </c>
      <c r="B224" s="17"/>
      <c r="C224" s="17"/>
      <c r="F224" s="17" t="e">
        <f t="shared" si="40"/>
        <v>#REF!</v>
      </c>
      <c r="G224" s="17" t="e">
        <f t="shared" si="40"/>
        <v>#REF!</v>
      </c>
      <c r="H224" s="18"/>
      <c r="K224" t="str">
        <f>"""GP"",""Ute Indian Tribe Membership Fund"",""Jet GL Transactions"",""Account Category Description"",""Other Expenses"",""Account Category Number"",""42"",""Account Description"",""Materials and Supplies"",""Account Index"",""17364"",""Account Number"",""5021-0-6410-0000"",""Credit"&amp;" Amount"",""0.00000"",""Debit Amount"",""53.57000"",""Document Date"",""1/1/1900"",""Document Number"",""434400203178"",""Document Sequence"",""32768"",""Period ID"",""3"",""Posting Type"",""Profit and Loss"",""Reference"",""School gifts"",""Row ID"",""5232181"",""Segment 1"",""5021"",""Segment"&amp;" 1 Description"",""Uinta River High School"",""Segment 10"","""",""Segment 10 Description"","""",""Segment 2"",""0"",""Segment 2 Description"","""",""Segment 3"",""6410"",""Segment 3 Description"","""",""Segment 4"",""0000"",""Segment 4 Description"","""",""Segment 5"","""",""Segment 5 Descript"&amp;"ion"","""",""Segment 6"","""",""Segment 6 Description"","""",""Segment 7"","""",""Segment 7 Description"","""",""Segment 8"","""",""Segment 8 Description"","""",""Segment 9"","""",""Segment 9 Description"","""",""Transaction Amount"",""53.57000"",""Transaction Date"",""12/9/2024"",""Transaction Des"&amp;"cription"",""School gifts"",""Vendor Name"",""Brittany A. Luck"",""Vendor Number"",""LUCK, BRITTANY"",""Journal Entry"",""1579035"""</f>
        <v>"GP","Ute Indian Tribe Membership Fund","Jet GL Transactions","Account Category Description","Other Expenses","Account Category Number","42","Account Description","Materials and Supplies","Account Index","17364","Account Number","5021-0-6410-0000","Credit Amount","0.00000","Debit Amount","53.57000","Document Date","1/1/1900","Document Number","434400203178","Document Sequence","32768","Period ID","3","Posting Type","Profit and Loss","Reference","School gifts","Row ID","5232181","Segment 1","5021","Segment 1 Description","Uinta River High School","Segment 10","","Segment 10 Description","","Segment 2","0","Segment 2 Description","","Segment 3","6410","Segment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Amount","53.57000","Transaction Date","12/9/2024","Transaction Description","School gifts","Vendor Name","Brittany A. Luck","Vendor Number","LUCK, BRITTANY","Journal Entry","1579035"</v>
      </c>
      <c r="L224" s="19">
        <v>45635</v>
      </c>
      <c r="M224">
        <v>1579035</v>
      </c>
      <c r="N224" t="str">
        <f>"Brittany A. Luck"</f>
        <v>Brittany A. Luck</v>
      </c>
      <c r="O224" t="str">
        <f>"434400203178"</f>
        <v>434400203178</v>
      </c>
      <c r="P224" t="str">
        <f>"School gifts"</f>
        <v>School gifts</v>
      </c>
      <c r="Q224" s="20" t="str">
        <f>"School gifts"</f>
        <v>School gifts</v>
      </c>
      <c r="R224" s="21">
        <v>53.57</v>
      </c>
      <c r="S224" s="21">
        <v>0</v>
      </c>
      <c r="T224" s="22">
        <f t="shared" si="39"/>
        <v>53.57</v>
      </c>
    </row>
    <row r="225" spans="1:20" x14ac:dyDescent="0.25">
      <c r="A225" s="1" t="s">
        <v>25</v>
      </c>
      <c r="B225" s="17"/>
      <c r="C225" s="17"/>
      <c r="F225" s="17" t="e">
        <f t="shared" si="40"/>
        <v>#REF!</v>
      </c>
      <c r="G225" s="17" t="e">
        <f t="shared" si="40"/>
        <v>#REF!</v>
      </c>
      <c r="H225" s="18"/>
      <c r="K225" t="str">
        <f>"""GP"",""Ute Indian Tribe Membership Fund"",""Jet GL Transactions"",""Account Category Description"",""Other Expenses"",""Account Category Number"",""42"",""Account Description"",""Materials and Supplies"",""Account Index"",""17364"",""Account Number"",""5021-0-6410-0000"",""Credit"&amp;" Amount"",""0.00000"",""Debit Amount"",""37.80000"",""Document Date"",""1/1/1900"",""Document Number"",""12/11/2024"",""Document Sequence"",""32768"",""Period ID"",""3"",""Posting Type"",""Profit and Loss"",""Reference"",""Bags for gifts"",""Row ID"",""5232187"",""Segment 1"",""5021"",""Segment"&amp;" 1 Description"",""Uinta River High School"",""Segment 10"","""",""Segment 10 Description"","""",""Segment 2"",""0"",""Segment 2 Description"","""",""Segment 3"",""6410"",""Segment 3 Description"","""",""Segment 4"",""0000"",""Segment 4 Description"","""",""Segment 5"","""",""Segment 5 Descript"&amp;"ion"","""",""Segment 6"","""",""Segment 6 Description"","""",""Segment 7"","""",""Segment 7 Description"","""",""Segment 8"","""",""Segment 8 Description"","""",""Segment 9"","""",""Segment 9 Description"","""",""Transaction Amount"",""37.80000"",""Transaction Date"",""12/11/2024"",""Transaction De"&amp;"scription"",""Bags for gifts"",""Vendor Name"",""Brittany A. Luck"",""Vendor Number"",""LUCK, BRITTANY"",""Journal Entry"",""1579038"""</f>
        <v>"GP","Ute Indian Tribe Membership Fund","Jet GL Transactions","Account Category Description","Other Expenses","Account Category Number","42","Account Description","Materials and Supplies","Account Index","17364","Account Number","5021-0-6410-0000","Credit Amount","0.00000","Debit Amount","37.80000","Document Date","1/1/1900","Document Number","12/11/2024","Document Sequence","32768","Period ID","3","Posting Type","Profit and Loss","Reference","Bags for gifts","Row ID","5232187","Segment 1","5021","Segment 1 Description","Uinta River High School","Segment 10","","Segment 10 Description","","Segment 2","0","Segment 2 Description","","Segment 3","6410","Segment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Amount","37.80000","Transaction Date","12/11/2024","Transaction Description","Bags for gifts","Vendor Name","Brittany A. Luck","Vendor Number","LUCK, BRITTANY","Journal Entry","1579038"</v>
      </c>
      <c r="L225" s="19">
        <v>45637</v>
      </c>
      <c r="M225">
        <v>1579038</v>
      </c>
      <c r="N225" t="str">
        <f>"Brittany A. Luck"</f>
        <v>Brittany A. Luck</v>
      </c>
      <c r="O225" t="str">
        <f>"12/11/2024"</f>
        <v>12/11/2024</v>
      </c>
      <c r="P225" t="str">
        <f>"Bags for gifts"</f>
        <v>Bags for gifts</v>
      </c>
      <c r="Q225" s="20" t="str">
        <f>"Bags for gifts"</f>
        <v>Bags for gifts</v>
      </c>
      <c r="R225" s="21">
        <v>37.799999999999997</v>
      </c>
      <c r="S225" s="21">
        <v>0</v>
      </c>
      <c r="T225" s="22">
        <f t="shared" si="39"/>
        <v>37.799999999999997</v>
      </c>
    </row>
    <row r="226" spans="1:20" x14ac:dyDescent="0.25">
      <c r="A226" s="1" t="s">
        <v>25</v>
      </c>
      <c r="B226" s="17"/>
      <c r="C226" s="17"/>
      <c r="F226" s="17" t="e">
        <f t="shared" si="40"/>
        <v>#REF!</v>
      </c>
      <c r="G226" s="17" t="e">
        <f t="shared" si="40"/>
        <v>#REF!</v>
      </c>
      <c r="H226" s="18"/>
      <c r="K226" t="str">
        <f>"""GP"",""Ute Indian Tribe Membership Fund"",""Jet GL Transactions"",""Account Category Description"",""Other Expenses"",""Account Category Number"",""42"",""Account Description"",""Materials and Supplies"",""Account Index"",""17364"",""Account Number"",""5021-0-6410-0000"",""Credit"&amp;" Amount"",""0.00000"",""Debit Amount"",""59.88000"",""Document Date"",""1/1/1900"",""Document Number"",""DF1C96A6-0004"",""Document Sequence"",""32768"",""Period ID"",""3"",""Posting Type"",""Profit and Loss"",""Reference"",""Blooket subscription"",""Row ID"",""5241829"",""Segment 1"",""5021"""&amp;",""Segment 1 Description"",""Uinta River High School"",""Segment 10"","""",""Segment 10 Description"","""",""Segment 2"",""0"",""Segment 2 Description"","""",""Segment 3"",""6410"",""Segment 3 Description"","""",""Segment 4"",""0000"",""Segment 4 Description"","""",""Segment 5"","""",""Segment 5"&amp;" Description"","""",""Segment 6"","""",""Segment 6 Description"","""",""Segment 7"","""",""Segment 7 Description"","""",""Segment 8"","""",""Segment 8 Description"","""",""Segment 9"","""",""Segment 9 Description"","""",""Transaction Amount"",""59.88000"",""Transaction Date"",""12/14/2024"",""Trans"&amp;"action Description"",""Blooket subscription"",""Vendor Name"",""Failner, Shawna J"",""Vendor Number"",""FAILNER, SHAWNA"",""Journal Entry"",""1580351"""</f>
        <v>"GP","Ute Indian Tribe Membership Fund","Jet GL Transactions","Account Category Description","Other Expenses","Account Category Number","42","Account Description","Materials and Supplies","Account Index","17364","Account Number","5021-0-6410-0000","Credit Amount","0.00000","Debit Amount","59.88000","Document Date","1/1/1900","Document Number","DF1C96A6-0004","Document Sequence","32768","Period ID","3","Posting Type","Profit and Loss","Reference","Blooket subscription","Row ID","5241829","Segment 1","5021","Segment 1 Description","Uinta River High School","Segment 10","","Segment 10 Description","","Segment 2","0","Segment 2 Description","","Segment 3","6410","Segment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Amount","59.88000","Transaction Date","12/14/2024","Transaction Description","Blooket subscription","Vendor Name","Failner, Shawna J","Vendor Number","FAILNER, SHAWNA","Journal Entry","1580351"</v>
      </c>
      <c r="L226" s="19">
        <v>45640</v>
      </c>
      <c r="M226">
        <v>1580351</v>
      </c>
      <c r="N226" t="str">
        <f>"Failner, Shawna J"</f>
        <v>Failner, Shawna J</v>
      </c>
      <c r="O226" t="str">
        <f>"DF1C96A6-0004"</f>
        <v>DF1C96A6-0004</v>
      </c>
      <c r="P226" t="str">
        <f>"Blooket subscription"</f>
        <v>Blooket subscription</v>
      </c>
      <c r="Q226" s="20" t="str">
        <f>"Blooket subscription"</f>
        <v>Blooket subscription</v>
      </c>
      <c r="R226" s="21">
        <v>59.88</v>
      </c>
      <c r="S226" s="21">
        <v>0</v>
      </c>
      <c r="T226" s="22">
        <f t="shared" si="39"/>
        <v>59.88</v>
      </c>
    </row>
    <row r="227" spans="1:20" x14ac:dyDescent="0.25">
      <c r="A227" s="1" t="s">
        <v>25</v>
      </c>
      <c r="B227" s="17"/>
      <c r="C227" s="17"/>
      <c r="F227" s="17" t="e">
        <f>#REF!</f>
        <v>#REF!</v>
      </c>
      <c r="G227" s="17" t="e">
        <f>#REF!</f>
        <v>#REF!</v>
      </c>
      <c r="H227" s="18"/>
    </row>
    <row r="228" spans="1:20" x14ac:dyDescent="0.25">
      <c r="A228" s="1" t="s">
        <v>25</v>
      </c>
      <c r="I228" s="50" t="str">
        <f>I219&amp;"   "&amp;J219&amp;"         Total:"</f>
        <v>5021-0-6410-0000   Materials and Supplies         Total:</v>
      </c>
      <c r="J228" s="50"/>
      <c r="K228" s="50"/>
      <c r="L228" s="50"/>
      <c r="M228" s="50"/>
      <c r="N228" s="50"/>
      <c r="O228" s="50"/>
      <c r="P228" s="50"/>
      <c r="Q228" s="50"/>
      <c r="R228" s="50"/>
      <c r="S228" s="50"/>
      <c r="T228" s="23">
        <f>SUBTOTAL(9,T220:T227)</f>
        <v>626.85</v>
      </c>
    </row>
    <row r="229" spans="1:20" x14ac:dyDescent="0.25">
      <c r="A229" s="1" t="s">
        <v>25</v>
      </c>
    </row>
    <row r="230" spans="1:20" x14ac:dyDescent="0.25">
      <c r="A230" s="1" t="s">
        <v>25</v>
      </c>
    </row>
    <row r="231" spans="1:20" x14ac:dyDescent="0.25">
      <c r="A231" s="1" t="s">
        <v>25</v>
      </c>
      <c r="D231" s="1" t="str">
        <f>"||""Filter"",""Jet GL Transactions"",""Account Number"",""Transaction Date"",""10/1/2024..9/30/2025"",""Account Number"",""||""""Filter"""",""""Jet GL Transactions"""",""""Account Number"""",""""Segment 1"""",""""5021"""",""""Segment 2"""",""""*"""",""""Segment 4"""",""""0000|9050"""""""</f>
        <v>||"Filter","Jet GL Transactions","Account Number","Transaction Date","10/1/2024..9/30/2025","Account Number","||""Filter"",""Jet GL Transactions"",""Account Number"",""Segment 1"",""5021"",""Segment 2"",""*"",""Segment 4"",""0000|9050"""</v>
      </c>
      <c r="F231" s="1" t="str">
        <f>"5021-0-7030-0000"</f>
        <v>5021-0-7030-0000</v>
      </c>
      <c r="G231" s="1" t="str">
        <f>"5021-0-7030-0000"</f>
        <v>5021-0-7030-0000</v>
      </c>
      <c r="I231" s="15" t="str">
        <f>G231</f>
        <v>5021-0-7030-0000</v>
      </c>
      <c r="J231" s="15" t="str">
        <f>"Activity and Field Trip Fees"</f>
        <v>Activity and Field Trip Fees</v>
      </c>
      <c r="Q231" s="15"/>
      <c r="R231" s="16"/>
    </row>
    <row r="232" spans="1:20" x14ac:dyDescent="0.25">
      <c r="A232" s="1" t="s">
        <v>25</v>
      </c>
      <c r="B232" s="17"/>
      <c r="C232" s="17"/>
      <c r="F232" s="17" t="e">
        <f>#REF!</f>
        <v>#REF!</v>
      </c>
      <c r="G232" s="17" t="e">
        <f>#REF!</f>
        <v>#REF!</v>
      </c>
      <c r="H232" s="18"/>
      <c r="K232" t="str">
        <f>"""GP"",""Ute Indian Tribe Membership Fund"",""Jet GL Transactions"",""Account Category Description"",""Other Expenses"",""Account Category Number"",""42"",""Account Description"",""Activity and Field Trip Fees"",""Account Index"",""7868"",""Account Number"",""5021-0-7030-0000"",""C"&amp;"redit Amount"",""0.00000"",""Debit Amount"",""832.00000"",""Document Date"",""1/1/1900"",""Document Number"",""12/20/2024"",""Document Sequence"",""32768"",""Period ID"",""3"",""Posting Type"",""Profit and Loss"",""Reference"",""URHS student activity"",""Row ID"",""5241855"",""Segment 1"",""5"&amp;"021"",""Segment 1 Description"",""Uinta River High School"",""Segment 10"","""",""Segment 10 Description"","""",""Segment 2"",""0"",""Segment 2 Description"","""",""Segment 3"",""7030"",""Segment 3 Description"","""",""Segment 4"",""0000"",""Segment 4 Description"","""",""Segment 5"","""",""Segme"&amp;"nt 5 Description"","""",""Segment 6"","""",""Segment 6 Description"","""",""Segment 7"","""",""Segment 7 Description"","""",""Segment 8"","""",""Segment 8 Description"","""",""Segment 9"","""",""Segment 9 Description"","""",""Transaction Amount"",""832.00000"",""Transaction Date"",""12/20/2024"","""&amp;"Transaction Description"",""URHS student activity"",""Vendor Name"",""VERNAL CINEMA 5"",""Vendor Number"",""VERNAL CINEM01"",""Journal Entry"",""1580364"""</f>
        <v>"GP","Ute Indian Tribe Membership Fund","Jet GL Transactions","Account Category Description","Other Expenses","Account Category Number","42","Account Description","Activity and Field Trip Fees","Account Index","7868","Account Number","5021-0-7030-0000","Credit Amount","0.00000","Debit Amount","832.00000","Document Date","1/1/1900","Document Number","12/20/2024","Document Sequence","32768","Period ID","3","Posting Type","Profit and Loss","Reference","URHS student activity","Row ID","5241855","Segment 1","5021","Segment 1 Description","Uinta River High School","Segment 10","","Segment 10 Description","","Segment 2","0","Segment 2 Description","","Segment 3","7030","Segment 3 Description","","Segment 4","0000","Segment 4 Description","","Segment 5","","Segment 5 Description","","Segment 6","","Segment 6 Description","","Segment 7","","Segment 7 Description","","Segment 8","","Segment 8 Description","","Segment 9","","Segment 9 Description","","Transaction Amount","832.00000","Transaction Date","12/20/2024","Transaction Description","URHS student activity","Vendor Name","VERNAL CINEMA 5","Vendor Number","VERNAL CINEM01","Journal Entry","1580364"</v>
      </c>
      <c r="L232" s="19">
        <v>45646</v>
      </c>
      <c r="M232">
        <v>1580364</v>
      </c>
      <c r="N232" t="str">
        <f>"VERNAL CINEMA 5"</f>
        <v>VERNAL CINEMA 5</v>
      </c>
      <c r="O232" t="str">
        <f>"12/20/2024"</f>
        <v>12/20/2024</v>
      </c>
      <c r="P232" t="str">
        <f>"URHS student activity"</f>
        <v>URHS student activity</v>
      </c>
      <c r="Q232" s="20" t="str">
        <f>"URHS student activity"</f>
        <v>URHS student activity</v>
      </c>
      <c r="R232" s="21">
        <v>832</v>
      </c>
      <c r="S232" s="21">
        <v>0</v>
      </c>
      <c r="T232" s="22">
        <f t="shared" ref="T232" si="41">SUM(R232:S232)</f>
        <v>832</v>
      </c>
    </row>
    <row r="233" spans="1:20" x14ac:dyDescent="0.25">
      <c r="A233" s="1" t="s">
        <v>25</v>
      </c>
      <c r="B233" s="17"/>
      <c r="C233" s="17"/>
      <c r="F233" s="17" t="e">
        <f>#REF!</f>
        <v>#REF!</v>
      </c>
      <c r="G233" s="17" t="e">
        <f>#REF!</f>
        <v>#REF!</v>
      </c>
      <c r="H233" s="18"/>
    </row>
    <row r="234" spans="1:20" x14ac:dyDescent="0.25">
      <c r="A234" s="1" t="s">
        <v>25</v>
      </c>
      <c r="I234" s="50" t="str">
        <f>I231&amp;"   "&amp;J231&amp;"         Total:"</f>
        <v>5021-0-7030-0000   Activity and Field Trip Fees         Total:</v>
      </c>
      <c r="J234" s="50"/>
      <c r="K234" s="50"/>
      <c r="L234" s="50"/>
      <c r="M234" s="50"/>
      <c r="N234" s="50"/>
      <c r="O234" s="50"/>
      <c r="P234" s="50"/>
      <c r="Q234" s="50"/>
      <c r="R234" s="50"/>
      <c r="S234" s="50"/>
      <c r="T234" s="23">
        <f>SUBTOTAL(9,T232:T233)</f>
        <v>832</v>
      </c>
    </row>
    <row r="235" spans="1:20" x14ac:dyDescent="0.25">
      <c r="A235" s="1" t="s">
        <v>25</v>
      </c>
    </row>
    <row r="236" spans="1:20" x14ac:dyDescent="0.25">
      <c r="A236" s="1" t="s">
        <v>25</v>
      </c>
    </row>
    <row r="237" spans="1:20" ht="15.75" hidden="1" thickBot="1" x14ac:dyDescent="0.3">
      <c r="A237" s="1" t="s">
        <v>1</v>
      </c>
      <c r="I237" s="51" t="s">
        <v>26</v>
      </c>
      <c r="J237" s="51"/>
      <c r="K237" s="51"/>
      <c r="L237" s="51"/>
      <c r="M237" s="51"/>
      <c r="N237" s="51"/>
      <c r="O237" s="51"/>
      <c r="P237" s="51"/>
      <c r="Q237" s="51"/>
      <c r="R237" s="51"/>
      <c r="S237" s="51"/>
      <c r="T237" s="24">
        <f>SUBTOTAL(9,T24)</f>
        <v>0</v>
      </c>
    </row>
  </sheetData>
  <mergeCells count="17">
    <mergeCell ref="I202:S202"/>
    <mergeCell ref="I6:K6"/>
    <mergeCell ref="I7:M7"/>
    <mergeCell ref="I24:S24"/>
    <mergeCell ref="I52:S52"/>
    <mergeCell ref="I60:S60"/>
    <mergeCell ref="I70:S70"/>
    <mergeCell ref="I134:S134"/>
    <mergeCell ref="I144:S144"/>
    <mergeCell ref="I159:S159"/>
    <mergeCell ref="I177:S177"/>
    <mergeCell ref="I195:S195"/>
    <mergeCell ref="I209:S209"/>
    <mergeCell ref="I216:S216"/>
    <mergeCell ref="I228:S228"/>
    <mergeCell ref="I234:S234"/>
    <mergeCell ref="I237:S23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05"/>
  <sheetViews>
    <sheetView showGridLines="0" topLeftCell="H1" zoomScale="80" zoomScaleNormal="80" workbookViewId="0">
      <pane ySplit="15" topLeftCell="A16" activePane="bottomLeft" state="frozen"/>
      <selection pane="bottomLeft" activeCell="H199" sqref="A199:XFD207"/>
    </sheetView>
  </sheetViews>
  <sheetFormatPr defaultRowHeight="15" x14ac:dyDescent="0.25"/>
  <cols>
    <col min="1" max="1" width="11.85546875" hidden="1" customWidth="1"/>
    <col min="2" max="2" width="17.85546875" hidden="1" customWidth="1"/>
    <col min="3" max="5" width="17.7109375" hidden="1" customWidth="1"/>
    <col min="6" max="6" width="9.140625" hidden="1" customWidth="1"/>
    <col min="7" max="7" width="11.140625" hidden="1" customWidth="1"/>
    <col min="8" max="8" width="2.140625" customWidth="1"/>
    <col min="9" max="9" width="17.42578125" bestFit="1" customWidth="1"/>
    <col min="10" max="10" width="44.140625" bestFit="1" customWidth="1"/>
    <col min="11" max="11" width="22.5703125" hidden="1" customWidth="1"/>
    <col min="12" max="12" width="17.85546875" bestFit="1" customWidth="1"/>
    <col min="13" max="13" width="12.140625" bestFit="1" customWidth="1"/>
    <col min="14" max="14" width="35.7109375" bestFit="1" customWidth="1"/>
    <col min="15" max="15" width="21.28515625" bestFit="1" customWidth="1"/>
    <col min="16" max="16" width="25.28515625" bestFit="1" customWidth="1"/>
    <col min="17" max="17" width="16.42578125" bestFit="1" customWidth="1"/>
    <col min="18" max="18" width="14.85546875" bestFit="1" customWidth="1"/>
    <col min="19" max="19" width="15.85546875" bestFit="1" customWidth="1"/>
    <col min="20" max="20" width="12.28515625" bestFit="1" customWidth="1"/>
  </cols>
  <sheetData>
    <row r="1" spans="1:20" s="25" customFormat="1" ht="12.75" hidden="1" x14ac:dyDescent="0.2">
      <c r="A1" s="25" t="s">
        <v>27</v>
      </c>
      <c r="B1" s="26" t="s">
        <v>1</v>
      </c>
      <c r="C1" s="26" t="s">
        <v>1</v>
      </c>
      <c r="D1" s="26" t="s">
        <v>1</v>
      </c>
      <c r="E1" s="26" t="s">
        <v>1</v>
      </c>
      <c r="F1" s="26" t="s">
        <v>1</v>
      </c>
      <c r="G1" s="26" t="s">
        <v>1</v>
      </c>
      <c r="H1" s="26"/>
      <c r="I1" s="25" t="s">
        <v>2</v>
      </c>
      <c r="J1" s="25" t="s">
        <v>2</v>
      </c>
      <c r="K1" s="25" t="s">
        <v>1</v>
      </c>
      <c r="L1" s="25" t="s">
        <v>2</v>
      </c>
      <c r="M1" s="25" t="s">
        <v>2</v>
      </c>
      <c r="N1" s="25" t="s">
        <v>2</v>
      </c>
      <c r="O1" s="25" t="s">
        <v>2</v>
      </c>
      <c r="P1" s="25" t="s">
        <v>2</v>
      </c>
      <c r="Q1" s="25" t="s">
        <v>2</v>
      </c>
      <c r="R1" s="25" t="s">
        <v>2</v>
      </c>
      <c r="S1" s="25" t="s">
        <v>2</v>
      </c>
      <c r="T1" s="25" t="s">
        <v>2</v>
      </c>
    </row>
    <row r="2" spans="1:20" s="25" customFormat="1" hidden="1" x14ac:dyDescent="0.25">
      <c r="A2" s="25" t="s">
        <v>1</v>
      </c>
      <c r="B2" s="25" t="s">
        <v>3</v>
      </c>
      <c r="C2" s="27">
        <f ca="1">DATE(IF(MONTH(TODAY())&gt;=10,YEAR(TODAY()),YEAR(TODAY())-1),10,1)</f>
        <v>45566</v>
      </c>
      <c r="D2" s="28"/>
      <c r="E2" s="28"/>
      <c r="F2" s="28"/>
      <c r="G2" s="28"/>
      <c r="H2" s="28"/>
    </row>
    <row r="3" spans="1:20" s="25" customFormat="1" hidden="1" x14ac:dyDescent="0.25">
      <c r="A3" s="25" t="s">
        <v>1</v>
      </c>
      <c r="B3" s="25" t="s">
        <v>4</v>
      </c>
      <c r="C3" s="27">
        <f ca="1">EOMONTH(TODAY(),0)</f>
        <v>45688</v>
      </c>
      <c r="D3" s="28"/>
      <c r="E3" s="28"/>
      <c r="F3" s="28"/>
      <c r="G3" s="28"/>
      <c r="H3" s="28"/>
    </row>
    <row r="4" spans="1:20" s="25" customFormat="1" ht="12.75" hidden="1" x14ac:dyDescent="0.2">
      <c r="A4" s="26" t="s">
        <v>1</v>
      </c>
      <c r="B4" s="25" t="s">
        <v>5</v>
      </c>
      <c r="C4" s="29" t="str">
        <f>DateFilter</f>
        <v>..9/30/2020</v>
      </c>
      <c r="D4" s="29"/>
      <c r="E4" s="29"/>
      <c r="F4" s="29"/>
      <c r="G4" s="29"/>
      <c r="H4" s="29"/>
    </row>
    <row r="5" spans="1:20" s="25" customFormat="1" ht="12.75" x14ac:dyDescent="0.2">
      <c r="A5" s="26"/>
      <c r="B5" s="25" t="s">
        <v>28</v>
      </c>
      <c r="C5" s="29" t="str">
        <f>Grant</f>
        <v>3420 FIA 54 UT 2025 5101</v>
      </c>
      <c r="D5" s="29"/>
      <c r="E5" s="29"/>
      <c r="F5" s="29"/>
      <c r="G5" s="29"/>
      <c r="H5" s="29"/>
    </row>
    <row r="6" spans="1:20" x14ac:dyDescent="0.25">
      <c r="A6" s="25"/>
      <c r="B6" s="25" t="s">
        <v>29</v>
      </c>
      <c r="C6" s="29" t="str">
        <f>Grant</f>
        <v>3420 FIA 54 UT 2025 5101</v>
      </c>
      <c r="D6" s="29"/>
      <c r="E6" s="29"/>
      <c r="F6" s="25"/>
      <c r="G6" s="25"/>
      <c r="H6" s="30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</row>
    <row r="7" spans="1:20" ht="23.25" x14ac:dyDescent="0.35">
      <c r="A7" s="25"/>
      <c r="B7" s="25" t="s">
        <v>7</v>
      </c>
      <c r="C7" s="29"/>
      <c r="D7" s="29"/>
      <c r="E7" s="29"/>
      <c r="F7" s="25"/>
      <c r="G7" s="25"/>
      <c r="H7" s="30"/>
      <c r="I7" s="56" t="s">
        <v>9</v>
      </c>
      <c r="J7" s="56"/>
      <c r="K7" s="56"/>
      <c r="L7" s="31"/>
      <c r="M7" s="31"/>
      <c r="N7" s="31"/>
      <c r="O7" s="31"/>
      <c r="P7" s="31"/>
      <c r="Q7" s="31"/>
      <c r="R7" s="31"/>
      <c r="S7" s="31"/>
      <c r="T7" s="31"/>
    </row>
    <row r="8" spans="1:20" x14ac:dyDescent="0.25">
      <c r="A8" s="25"/>
      <c r="B8" s="25" t="s">
        <v>10</v>
      </c>
      <c r="C8" s="29"/>
      <c r="D8" s="29"/>
      <c r="E8" s="29"/>
      <c r="F8" s="25"/>
      <c r="G8" s="25"/>
      <c r="H8" s="30"/>
      <c r="I8" s="57" t="str">
        <f ca="1">"For the Period of "&amp;TEXT($C$2,"MMMM D, YYYY")&amp;" through "&amp;TEXT($C$3,"MMMM D, YYYY")</f>
        <v>For the Period of October 1, 2024 through January 31, 2025</v>
      </c>
      <c r="J8" s="57"/>
      <c r="K8" s="57"/>
      <c r="L8" s="57"/>
      <c r="M8" s="57"/>
      <c r="N8" s="31"/>
      <c r="O8" s="31"/>
      <c r="P8" s="31"/>
      <c r="Q8" s="31"/>
      <c r="R8" s="31"/>
      <c r="S8" s="31"/>
      <c r="T8" s="31"/>
    </row>
    <row r="9" spans="1:20" x14ac:dyDescent="0.25">
      <c r="A9" s="25"/>
      <c r="B9" s="25" t="s">
        <v>11</v>
      </c>
      <c r="C9" s="32" t="str">
        <f ca="1">YEAR($C$2)&amp;"/0"</f>
        <v>2024/0</v>
      </c>
      <c r="D9" s="29"/>
      <c r="E9" s="29"/>
      <c r="F9" s="25"/>
      <c r="G9" s="25"/>
      <c r="H9" s="30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</row>
    <row r="10" spans="1:20" x14ac:dyDescent="0.25">
      <c r="A10" s="25"/>
      <c r="B10" s="25" t="s">
        <v>12</v>
      </c>
      <c r="C10" s="25"/>
      <c r="D10" s="32"/>
      <c r="E10" s="32"/>
      <c r="F10" s="25"/>
      <c r="G10" s="25"/>
      <c r="H10" s="30"/>
      <c r="I10" s="31" t="str">
        <f>B6</f>
        <v>Contract</v>
      </c>
      <c r="J10" s="33" t="str">
        <f>C6</f>
        <v>3420 FIA 54 UT 2025 5101</v>
      </c>
      <c r="K10" s="34"/>
      <c r="L10" s="33"/>
      <c r="M10" s="31"/>
      <c r="N10" s="31"/>
      <c r="O10" s="31"/>
      <c r="P10" s="31"/>
      <c r="Q10" s="31"/>
      <c r="R10" s="31"/>
      <c r="S10" s="31"/>
      <c r="T10" s="31"/>
    </row>
    <row r="11" spans="1:20" x14ac:dyDescent="0.25">
      <c r="A11" s="25"/>
      <c r="B11" s="25"/>
      <c r="C11" s="25"/>
      <c r="D11" s="25"/>
      <c r="E11" s="25"/>
      <c r="F11" s="25"/>
      <c r="G11" s="25"/>
      <c r="H11" s="30"/>
      <c r="I11" s="31" t="str">
        <f>B7</f>
        <v>Location</v>
      </c>
      <c r="J11" s="33"/>
      <c r="K11" s="31"/>
      <c r="L11" s="35"/>
      <c r="M11" s="31"/>
      <c r="N11" s="31"/>
      <c r="O11" s="31"/>
      <c r="P11" s="31"/>
      <c r="Q11" s="31"/>
      <c r="R11" s="31"/>
      <c r="S11" s="31"/>
      <c r="T11" s="31"/>
    </row>
    <row r="12" spans="1:20" x14ac:dyDescent="0.25">
      <c r="A12" s="25"/>
      <c r="B12" s="25"/>
      <c r="C12" s="25"/>
      <c r="D12" s="25"/>
      <c r="E12" s="25"/>
      <c r="F12" s="25"/>
      <c r="G12" s="25"/>
      <c r="H12" s="30"/>
      <c r="I12" s="31" t="str">
        <f>B8</f>
        <v>Company</v>
      </c>
      <c r="J12" s="33"/>
      <c r="K12" s="31"/>
      <c r="L12" s="31"/>
      <c r="M12" s="31"/>
      <c r="N12" s="31"/>
      <c r="O12" s="31"/>
      <c r="P12" s="31"/>
      <c r="Q12" s="31"/>
      <c r="R12" s="36" t="s">
        <v>13</v>
      </c>
      <c r="S12" s="37">
        <v>45668</v>
      </c>
      <c r="T12" s="31"/>
    </row>
    <row r="15" spans="1:20" x14ac:dyDescent="0.25">
      <c r="A15" s="25"/>
      <c r="B15" s="25"/>
      <c r="C15" s="25"/>
      <c r="D15" s="25"/>
      <c r="E15" s="25"/>
      <c r="F15" s="25"/>
      <c r="G15" s="25"/>
      <c r="H15" s="30"/>
      <c r="I15" s="38" t="s">
        <v>14</v>
      </c>
      <c r="J15" s="38" t="s">
        <v>15</v>
      </c>
      <c r="K15" s="38"/>
      <c r="L15" s="38" t="s">
        <v>16</v>
      </c>
      <c r="M15" s="38" t="s">
        <v>17</v>
      </c>
      <c r="N15" s="38" t="s">
        <v>18</v>
      </c>
      <c r="O15" s="38" t="s">
        <v>19</v>
      </c>
      <c r="P15" s="38" t="s">
        <v>20</v>
      </c>
      <c r="Q15" s="38" t="s">
        <v>30</v>
      </c>
      <c r="R15" s="38" t="s">
        <v>22</v>
      </c>
      <c r="S15" s="38" t="s">
        <v>23</v>
      </c>
      <c r="T15" s="38" t="s">
        <v>24</v>
      </c>
    </row>
    <row r="16" spans="1:20" x14ac:dyDescent="0.25">
      <c r="A16" s="25"/>
      <c r="B16" s="25"/>
      <c r="C16" s="25"/>
      <c r="D16" s="25"/>
      <c r="E16" s="25"/>
      <c r="F16" s="25"/>
      <c r="G16" s="25"/>
      <c r="H16" s="30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</row>
    <row r="17" spans="1:20" x14ac:dyDescent="0.25">
      <c r="A17" s="25"/>
      <c r="B17" s="25"/>
      <c r="C17" s="25"/>
      <c r="D17" s="25"/>
      <c r="E17" s="25"/>
      <c r="F17" s="25" t="str">
        <f>"5021-0-6100-3420"</f>
        <v>5021-0-6100-3420</v>
      </c>
      <c r="G17" s="25" t="str">
        <f>"5021-0-6100-3420"</f>
        <v>5021-0-6100-3420</v>
      </c>
      <c r="H17" s="30"/>
      <c r="I17" s="40" t="str">
        <f>G17</f>
        <v>5021-0-6100-3420</v>
      </c>
      <c r="J17" s="40" t="str">
        <f>"Salaries &amp; Wages"</f>
        <v>Salaries &amp; Wages</v>
      </c>
      <c r="K17" s="31"/>
      <c r="L17" s="31"/>
      <c r="M17" s="31"/>
      <c r="N17" s="31"/>
      <c r="O17" s="31"/>
      <c r="P17" s="31"/>
      <c r="Q17" s="40"/>
      <c r="R17" s="41"/>
      <c r="S17" s="31"/>
      <c r="T17" s="31"/>
    </row>
    <row r="18" spans="1:20" s="31" customFormat="1" x14ac:dyDescent="0.25">
      <c r="A18" s="25" t="s">
        <v>25</v>
      </c>
      <c r="B18" s="42"/>
      <c r="C18" s="42"/>
      <c r="D18" s="25"/>
      <c r="E18" s="25"/>
      <c r="F18" s="42" t="e">
        <f>#REF!</f>
        <v>#REF!</v>
      </c>
      <c r="G18" s="42" t="e">
        <f>#REF!</f>
        <v>#REF!</v>
      </c>
      <c r="H18" s="43"/>
      <c r="K18" s="31" t="str">
        <f>"""GP"",""Ute Indian Tribe Membership Fund"",""aaa_contract_detail_sp"",""JRNENTRY"",""1570971"",""aaGLHdrID"",""1739104"",""aaGLDistID"",""17"",""aaGLAssignID"",""1"",""contract"",""3420 FIA 54 UT 2025 5101"""</f>
        <v>"GP","Ute Indian Tribe Membership Fund","aaa_contract_detail_sp","JRNENTRY","1570971","aaGLHdrID","1739104","aaGLDistID","17","aaGLAssignID","1","contract","3420 FIA 54 UT 2025 5101"</v>
      </c>
      <c r="L18" s="44">
        <v>45603</v>
      </c>
      <c r="M18" s="31">
        <v>1570971</v>
      </c>
      <c r="N18" s="31" t="str">
        <f>""</f>
        <v/>
      </c>
      <c r="O18" s="31" t="str">
        <f>""</f>
        <v/>
      </c>
      <c r="P18" s="31" t="str">
        <f>""</f>
        <v/>
      </c>
      <c r="Q18" s="45" t="str">
        <f>""</f>
        <v/>
      </c>
      <c r="R18" s="46">
        <v>2715.52</v>
      </c>
      <c r="S18" s="46">
        <v>0</v>
      </c>
      <c r="T18" s="47">
        <f t="shared" ref="T18:T55" si="0">SUM(R18:S18)</f>
        <v>2715.52</v>
      </c>
    </row>
    <row r="19" spans="1:20" s="31" customFormat="1" x14ac:dyDescent="0.25">
      <c r="A19" s="25" t="s">
        <v>25</v>
      </c>
      <c r="B19" s="42"/>
      <c r="C19" s="42"/>
      <c r="D19" s="25"/>
      <c r="E19" s="25"/>
      <c r="F19" s="42" t="e">
        <f t="shared" ref="F19:G34" si="1">F18</f>
        <v>#REF!</v>
      </c>
      <c r="G19" s="42" t="e">
        <f t="shared" si="1"/>
        <v>#REF!</v>
      </c>
      <c r="H19" s="43"/>
      <c r="K19" s="31" t="str">
        <f>"""GP"",""Ute Indian Tribe Membership Fund"",""aaa_contract_detail_sp"",""JRNENTRY"",""1570971"",""aaGLHdrID"",""1739104"",""aaGLDistID"",""18"",""aaGLAssignID"",""1"",""contract"",""3420 FIA 54 UT 2025 5101"""</f>
        <v>"GP","Ute Indian Tribe Membership Fund","aaa_contract_detail_sp","JRNENTRY","1570971","aaGLHdrID","1739104","aaGLDistID","18","aaGLAssignID","1","contract","3420 FIA 54 UT 2025 5101"</v>
      </c>
      <c r="L19" s="44">
        <v>45603</v>
      </c>
      <c r="M19" s="31">
        <v>1570971</v>
      </c>
      <c r="N19" s="31" t="str">
        <f>""</f>
        <v/>
      </c>
      <c r="O19" s="31" t="str">
        <f>""</f>
        <v/>
      </c>
      <c r="P19" s="31" t="str">
        <f>""</f>
        <v/>
      </c>
      <c r="Q19" s="45" t="str">
        <f>""</f>
        <v/>
      </c>
      <c r="R19" s="46">
        <v>328.8</v>
      </c>
      <c r="S19" s="46">
        <v>0</v>
      </c>
      <c r="T19" s="47">
        <f t="shared" si="0"/>
        <v>328.8</v>
      </c>
    </row>
    <row r="20" spans="1:20" s="31" customFormat="1" x14ac:dyDescent="0.25">
      <c r="A20" s="25" t="s">
        <v>25</v>
      </c>
      <c r="B20" s="42"/>
      <c r="C20" s="42"/>
      <c r="D20" s="25"/>
      <c r="E20" s="25"/>
      <c r="F20" s="42" t="e">
        <f t="shared" si="1"/>
        <v>#REF!</v>
      </c>
      <c r="G20" s="42" t="e">
        <f t="shared" si="1"/>
        <v>#REF!</v>
      </c>
      <c r="H20" s="43"/>
      <c r="K20" s="31" t="str">
        <f>"""GP"",""Ute Indian Tribe Membership Fund"",""aaa_contract_detail_sp"",""JRNENTRY"",""1571082"",""aaGLHdrID"",""1739215"",""aaGLDistID"",""15"",""aaGLAssignID"",""1"",""contract"",""3420 FIA 54 UT 2025 5101"""</f>
        <v>"GP","Ute Indian Tribe Membership Fund","aaa_contract_detail_sp","JRNENTRY","1571082","aaGLHdrID","1739215","aaGLDistID","15","aaGLAssignID","1","contract","3420 FIA 54 UT 2025 5101"</v>
      </c>
      <c r="L20" s="44">
        <v>45603</v>
      </c>
      <c r="M20" s="31">
        <v>1571082</v>
      </c>
      <c r="N20" s="31" t="str">
        <f>""</f>
        <v/>
      </c>
      <c r="O20" s="31" t="str">
        <f>""</f>
        <v/>
      </c>
      <c r="P20" s="31" t="str">
        <f>""</f>
        <v/>
      </c>
      <c r="Q20" s="45" t="str">
        <f>""</f>
        <v/>
      </c>
      <c r="R20" s="46">
        <v>1831.2</v>
      </c>
      <c r="S20" s="46">
        <v>0</v>
      </c>
      <c r="T20" s="47">
        <f t="shared" si="0"/>
        <v>1831.2</v>
      </c>
    </row>
    <row r="21" spans="1:20" s="31" customFormat="1" x14ac:dyDescent="0.25">
      <c r="A21" s="25" t="s">
        <v>25</v>
      </c>
      <c r="B21" s="42"/>
      <c r="C21" s="42"/>
      <c r="D21" s="25"/>
      <c r="E21" s="25"/>
      <c r="F21" s="42" t="e">
        <f t="shared" si="1"/>
        <v>#REF!</v>
      </c>
      <c r="G21" s="42" t="e">
        <f t="shared" si="1"/>
        <v>#REF!</v>
      </c>
      <c r="H21" s="43"/>
      <c r="K21" s="31" t="str">
        <f>"""GP"",""Ute Indian Tribe Membership Fund"",""aaa_contract_detail_sp"",""JRNENTRY"",""1571082"",""aaGLHdrID"",""1739215"",""aaGLDistID"",""16"",""aaGLAssignID"",""1"",""contract"",""3420 FIA 54 UT 2025 5101"""</f>
        <v>"GP","Ute Indian Tribe Membership Fund","aaa_contract_detail_sp","JRNENTRY","1571082","aaGLHdrID","1739215","aaGLDistID","16","aaGLAssignID","1","contract","3420 FIA 54 UT 2025 5101"</v>
      </c>
      <c r="L21" s="44">
        <v>45603</v>
      </c>
      <c r="M21" s="31">
        <v>1571082</v>
      </c>
      <c r="N21" s="31" t="str">
        <f>""</f>
        <v/>
      </c>
      <c r="O21" s="31" t="str">
        <f>""</f>
        <v/>
      </c>
      <c r="P21" s="31" t="str">
        <f>""</f>
        <v/>
      </c>
      <c r="Q21" s="45" t="str">
        <f>""</f>
        <v/>
      </c>
      <c r="R21" s="46">
        <v>610.4</v>
      </c>
      <c r="S21" s="46">
        <v>0</v>
      </c>
      <c r="T21" s="47">
        <f t="shared" si="0"/>
        <v>610.4</v>
      </c>
    </row>
    <row r="22" spans="1:20" s="31" customFormat="1" x14ac:dyDescent="0.25">
      <c r="A22" s="25" t="s">
        <v>25</v>
      </c>
      <c r="B22" s="42"/>
      <c r="C22" s="42"/>
      <c r="D22" s="25"/>
      <c r="E22" s="25"/>
      <c r="F22" s="42" t="e">
        <f t="shared" si="1"/>
        <v>#REF!</v>
      </c>
      <c r="G22" s="42" t="e">
        <f t="shared" si="1"/>
        <v>#REF!</v>
      </c>
      <c r="H22" s="43"/>
      <c r="K22" s="31" t="str">
        <f>"""GP"",""Ute Indian Tribe Membership Fund"",""aaa_contract_detail_sp"",""JRNENTRY"",""1571096"",""aaGLHdrID"",""1739229"",""aaGLDistID"",""15"",""aaGLAssignID"",""1"",""contract"",""3420 FIA 54 UT 2025 5101"""</f>
        <v>"GP","Ute Indian Tribe Membership Fund","aaa_contract_detail_sp","JRNENTRY","1571096","aaGLHdrID","1739229","aaGLDistID","15","aaGLAssignID","1","contract","3420 FIA 54 UT 2025 5101"</v>
      </c>
      <c r="L22" s="44">
        <v>45603</v>
      </c>
      <c r="M22" s="31">
        <v>1571096</v>
      </c>
      <c r="N22" s="31" t="str">
        <f>""</f>
        <v/>
      </c>
      <c r="O22" s="31" t="str">
        <f>""</f>
        <v/>
      </c>
      <c r="P22" s="31" t="str">
        <f>""</f>
        <v/>
      </c>
      <c r="Q22" s="45" t="str">
        <f>""</f>
        <v/>
      </c>
      <c r="R22" s="46">
        <v>2715.52</v>
      </c>
      <c r="S22" s="46">
        <v>0</v>
      </c>
      <c r="T22" s="47">
        <f t="shared" si="0"/>
        <v>2715.52</v>
      </c>
    </row>
    <row r="23" spans="1:20" s="31" customFormat="1" x14ac:dyDescent="0.25">
      <c r="A23" s="25" t="s">
        <v>25</v>
      </c>
      <c r="B23" s="42"/>
      <c r="C23" s="42"/>
      <c r="D23" s="25"/>
      <c r="E23" s="25"/>
      <c r="F23" s="42" t="e">
        <f t="shared" si="1"/>
        <v>#REF!</v>
      </c>
      <c r="G23" s="42" t="e">
        <f t="shared" si="1"/>
        <v>#REF!</v>
      </c>
      <c r="H23" s="43"/>
      <c r="K23" s="31" t="str">
        <f>"""GP"",""Ute Indian Tribe Membership Fund"",""aaa_contract_detail_sp"",""JRNENTRY"",""1571141"",""aaGLHdrID"",""1739274"",""aaGLDistID"",""14"",""aaGLAssignID"",""1"",""contract"",""3420 FIA 54 UT 2025 5101"""</f>
        <v>"GP","Ute Indian Tribe Membership Fund","aaa_contract_detail_sp","JRNENTRY","1571141","aaGLHdrID","1739274","aaGLDistID","14","aaGLAssignID","1","contract","3420 FIA 54 UT 2025 5101"</v>
      </c>
      <c r="L23" s="44">
        <v>45603</v>
      </c>
      <c r="M23" s="31">
        <v>1571141</v>
      </c>
      <c r="N23" s="31" t="str">
        <f>""</f>
        <v/>
      </c>
      <c r="O23" s="31" t="str">
        <f>""</f>
        <v/>
      </c>
      <c r="P23" s="31" t="str">
        <f>""</f>
        <v/>
      </c>
      <c r="Q23" s="45" t="str">
        <f>""</f>
        <v/>
      </c>
      <c r="R23" s="46">
        <v>3094.4</v>
      </c>
      <c r="S23" s="46">
        <v>0</v>
      </c>
      <c r="T23" s="47">
        <f t="shared" si="0"/>
        <v>3094.4</v>
      </c>
    </row>
    <row r="24" spans="1:20" s="31" customFormat="1" x14ac:dyDescent="0.25">
      <c r="A24" s="25" t="s">
        <v>25</v>
      </c>
      <c r="B24" s="42"/>
      <c r="C24" s="42"/>
      <c r="D24" s="25"/>
      <c r="E24" s="25"/>
      <c r="F24" s="42" t="e">
        <f t="shared" si="1"/>
        <v>#REF!</v>
      </c>
      <c r="G24" s="42" t="e">
        <f t="shared" si="1"/>
        <v>#REF!</v>
      </c>
      <c r="H24" s="43"/>
      <c r="K24" s="31" t="str">
        <f>"""GP"",""Ute Indian Tribe Membership Fund"",""aaa_contract_detail_sp"",""JRNENTRY"",""1574551"",""aaGLHdrID"",""1742277"",""aaGLDistID"",""17"",""aaGLAssignID"",""1"",""contract"",""3420 FIA 54 UT 2025 5101"""</f>
        <v>"GP","Ute Indian Tribe Membership Fund","aaa_contract_detail_sp","JRNENTRY","1574551","aaGLHdrID","1742277","aaGLDistID","17","aaGLAssignID","1","contract","3420 FIA 54 UT 2025 5101"</v>
      </c>
      <c r="L24" s="44">
        <v>45617</v>
      </c>
      <c r="M24" s="31">
        <v>1574551</v>
      </c>
      <c r="N24" s="31" t="str">
        <f>""</f>
        <v/>
      </c>
      <c r="O24" s="31" t="str">
        <f>""</f>
        <v/>
      </c>
      <c r="P24" s="31" t="str">
        <f>""</f>
        <v/>
      </c>
      <c r="Q24" s="45" t="str">
        <f>""</f>
        <v/>
      </c>
      <c r="R24" s="46">
        <v>2715.52</v>
      </c>
      <c r="S24" s="46">
        <v>0</v>
      </c>
      <c r="T24" s="47">
        <f t="shared" si="0"/>
        <v>2715.52</v>
      </c>
    </row>
    <row r="25" spans="1:20" s="31" customFormat="1" x14ac:dyDescent="0.25">
      <c r="A25" s="25" t="s">
        <v>25</v>
      </c>
      <c r="B25" s="42"/>
      <c r="C25" s="42"/>
      <c r="D25" s="25"/>
      <c r="E25" s="25"/>
      <c r="F25" s="42" t="e">
        <f t="shared" si="1"/>
        <v>#REF!</v>
      </c>
      <c r="G25" s="42" t="e">
        <f t="shared" si="1"/>
        <v>#REF!</v>
      </c>
      <c r="H25" s="43"/>
      <c r="K25" s="31" t="str">
        <f>"""GP"",""Ute Indian Tribe Membership Fund"",""aaa_contract_detail_sp"",""JRNENTRY"",""1574661"",""aaGLHdrID"",""1742387"",""aaGLDistID"",""15"",""aaGLAssignID"",""1"",""contract"",""3420 FIA 54 UT 2025 5101"""</f>
        <v>"GP","Ute Indian Tribe Membership Fund","aaa_contract_detail_sp","JRNENTRY","1574661","aaGLHdrID","1742387","aaGLDistID","15","aaGLAssignID","1","contract","3420 FIA 54 UT 2025 5101"</v>
      </c>
      <c r="L25" s="44">
        <v>45617</v>
      </c>
      <c r="M25" s="31">
        <v>1574661</v>
      </c>
      <c r="N25" s="31" t="str">
        <f>""</f>
        <v/>
      </c>
      <c r="O25" s="31" t="str">
        <f>""</f>
        <v/>
      </c>
      <c r="P25" s="31" t="str">
        <f>""</f>
        <v/>
      </c>
      <c r="Q25" s="45" t="str">
        <f>""</f>
        <v/>
      </c>
      <c r="R25" s="46">
        <v>2441.6</v>
      </c>
      <c r="S25" s="46">
        <v>0</v>
      </c>
      <c r="T25" s="47">
        <f t="shared" si="0"/>
        <v>2441.6</v>
      </c>
    </row>
    <row r="26" spans="1:20" s="31" customFormat="1" x14ac:dyDescent="0.25">
      <c r="A26" s="25" t="s">
        <v>25</v>
      </c>
      <c r="B26" s="42"/>
      <c r="C26" s="42"/>
      <c r="D26" s="25"/>
      <c r="E26" s="25"/>
      <c r="F26" s="42" t="e">
        <f t="shared" si="1"/>
        <v>#REF!</v>
      </c>
      <c r="G26" s="42" t="e">
        <f t="shared" si="1"/>
        <v>#REF!</v>
      </c>
      <c r="H26" s="43"/>
      <c r="K26" s="31" t="str">
        <f>"""GP"",""Ute Indian Tribe Membership Fund"",""aaa_contract_detail_sp"",""JRNENTRY"",""1574675"",""aaGLHdrID"",""1742401"",""aaGLDistID"",""15"",""aaGLAssignID"",""1"",""contract"",""3420 FIA 54 UT 2025 5101"""</f>
        <v>"GP","Ute Indian Tribe Membership Fund","aaa_contract_detail_sp","JRNENTRY","1574675","aaGLHdrID","1742401","aaGLDistID","15","aaGLAssignID","1","contract","3420 FIA 54 UT 2025 5101"</v>
      </c>
      <c r="L26" s="44">
        <v>45617</v>
      </c>
      <c r="M26" s="31">
        <v>1574675</v>
      </c>
      <c r="N26" s="31" t="str">
        <f>""</f>
        <v/>
      </c>
      <c r="O26" s="31" t="str">
        <f>""</f>
        <v/>
      </c>
      <c r="P26" s="31" t="str">
        <f>""</f>
        <v/>
      </c>
      <c r="Q26" s="45" t="str">
        <f>""</f>
        <v/>
      </c>
      <c r="R26" s="46">
        <v>2715.52</v>
      </c>
      <c r="S26" s="46">
        <v>0</v>
      </c>
      <c r="T26" s="47">
        <f t="shared" si="0"/>
        <v>2715.52</v>
      </c>
    </row>
    <row r="27" spans="1:20" s="31" customFormat="1" x14ac:dyDescent="0.25">
      <c r="A27" s="25" t="s">
        <v>25</v>
      </c>
      <c r="B27" s="42"/>
      <c r="C27" s="42"/>
      <c r="D27" s="25"/>
      <c r="E27" s="25"/>
      <c r="F27" s="42" t="e">
        <f t="shared" si="1"/>
        <v>#REF!</v>
      </c>
      <c r="G27" s="42" t="e">
        <f t="shared" si="1"/>
        <v>#REF!</v>
      </c>
      <c r="H27" s="43"/>
      <c r="K27" s="31" t="str">
        <f>"""GP"",""Ute Indian Tribe Membership Fund"",""aaa_contract_detail_sp"",""JRNENTRY"",""1574720"",""aaGLHdrID"",""1742446"",""aaGLDistID"",""14"",""aaGLAssignID"",""1"",""contract"",""3420 FIA 54 UT 2025 5101"""</f>
        <v>"GP","Ute Indian Tribe Membership Fund","aaa_contract_detail_sp","JRNENTRY","1574720","aaGLHdrID","1742446","aaGLDistID","14","aaGLAssignID","1","contract","3420 FIA 54 UT 2025 5101"</v>
      </c>
      <c r="L27" s="44">
        <v>45617</v>
      </c>
      <c r="M27" s="31">
        <v>1574720</v>
      </c>
      <c r="N27" s="31" t="str">
        <f>""</f>
        <v/>
      </c>
      <c r="O27" s="31" t="str">
        <f>""</f>
        <v/>
      </c>
      <c r="P27" s="31" t="str">
        <f>""</f>
        <v/>
      </c>
      <c r="Q27" s="45" t="str">
        <f>""</f>
        <v/>
      </c>
      <c r="R27" s="46">
        <v>3094.4</v>
      </c>
      <c r="S27" s="46">
        <v>0</v>
      </c>
      <c r="T27" s="47">
        <f t="shared" si="0"/>
        <v>3094.4</v>
      </c>
    </row>
    <row r="28" spans="1:20" s="31" customFormat="1" x14ac:dyDescent="0.25">
      <c r="A28" s="25" t="s">
        <v>25</v>
      </c>
      <c r="B28" s="42"/>
      <c r="C28" s="42"/>
      <c r="D28" s="25"/>
      <c r="E28" s="25"/>
      <c r="F28" s="42" t="e">
        <f t="shared" si="1"/>
        <v>#REF!</v>
      </c>
      <c r="G28" s="42" t="e">
        <f t="shared" si="1"/>
        <v>#REF!</v>
      </c>
      <c r="H28" s="43"/>
      <c r="K28" s="31" t="str">
        <f>"""GP"",""Ute Indian Tribe Membership Fund"",""aaa_contract_detail_sp"",""JRNENTRY"",""1576499"",""aaGLHdrID"",""1744459"",""aaGLDistID"",""17"",""aaGLAssignID"",""1"",""contract"",""3420 FIA 54 UT 2025 5101"""</f>
        <v>"GP","Ute Indian Tribe Membership Fund","aaa_contract_detail_sp","JRNENTRY","1576499","aaGLHdrID","1744459","aaGLDistID","17","aaGLAssignID","1","contract","3420 FIA 54 UT 2025 5101"</v>
      </c>
      <c r="L28" s="44">
        <v>45631</v>
      </c>
      <c r="M28" s="31">
        <v>1576499</v>
      </c>
      <c r="N28" s="31" t="str">
        <f>""</f>
        <v/>
      </c>
      <c r="O28" s="31" t="str">
        <f>""</f>
        <v/>
      </c>
      <c r="P28" s="31" t="str">
        <f>""</f>
        <v/>
      </c>
      <c r="Q28" s="45" t="str">
        <f>""</f>
        <v/>
      </c>
      <c r="R28" s="46">
        <v>2376.08</v>
      </c>
      <c r="S28" s="46">
        <v>0</v>
      </c>
      <c r="T28" s="47">
        <f t="shared" si="0"/>
        <v>2376.08</v>
      </c>
    </row>
    <row r="29" spans="1:20" s="31" customFormat="1" x14ac:dyDescent="0.25">
      <c r="A29" s="25" t="s">
        <v>25</v>
      </c>
      <c r="B29" s="42"/>
      <c r="C29" s="42"/>
      <c r="D29" s="25"/>
      <c r="E29" s="25"/>
      <c r="F29" s="42" t="e">
        <f t="shared" si="1"/>
        <v>#REF!</v>
      </c>
      <c r="G29" s="42" t="e">
        <f t="shared" si="1"/>
        <v>#REF!</v>
      </c>
      <c r="H29" s="43"/>
      <c r="K29" s="31" t="str">
        <f>"""GP"",""Ute Indian Tribe Membership Fund"",""aaa_contract_detail_sp"",""JRNENTRY"",""1576499"",""aaGLHdrID"",""1744459"",""aaGLDistID"",""18"",""aaGLAssignID"",""1"",""contract"",""3420 FIA 54 UT 2025 5101"""</f>
        <v>"GP","Ute Indian Tribe Membership Fund","aaa_contract_detail_sp","JRNENTRY","1576499","aaGLHdrID","1744459","aaGLDistID","18","aaGLAssignID","1","contract","3420 FIA 54 UT 2025 5101"</v>
      </c>
      <c r="L29" s="44">
        <v>45631</v>
      </c>
      <c r="M29" s="31">
        <v>1576499</v>
      </c>
      <c r="N29" s="31" t="str">
        <f>""</f>
        <v/>
      </c>
      <c r="O29" s="31" t="str">
        <f>""</f>
        <v/>
      </c>
      <c r="P29" s="31" t="str">
        <f>""</f>
        <v/>
      </c>
      <c r="Q29" s="45" t="str">
        <f>""</f>
        <v/>
      </c>
      <c r="R29" s="46">
        <v>339.44</v>
      </c>
      <c r="S29" s="46">
        <v>0</v>
      </c>
      <c r="T29" s="47">
        <f t="shared" si="0"/>
        <v>339.44</v>
      </c>
    </row>
    <row r="30" spans="1:20" s="31" customFormat="1" x14ac:dyDescent="0.25">
      <c r="A30" s="25" t="s">
        <v>25</v>
      </c>
      <c r="B30" s="42"/>
      <c r="C30" s="42"/>
      <c r="D30" s="25"/>
      <c r="E30" s="25"/>
      <c r="F30" s="42" t="e">
        <f t="shared" si="1"/>
        <v>#REF!</v>
      </c>
      <c r="G30" s="42" t="e">
        <f t="shared" si="1"/>
        <v>#REF!</v>
      </c>
      <c r="H30" s="43"/>
      <c r="K30" s="31" t="str">
        <f>"""GP"",""Ute Indian Tribe Membership Fund"",""aaa_contract_detail_sp"",""JRNENTRY"",""1576499"",""aaGLHdrID"",""1744459"",""aaGLDistID"",""19"",""aaGLAssignID"",""1"",""contract"",""3420 FIA 54 UT 2025 5101"""</f>
        <v>"GP","Ute Indian Tribe Membership Fund","aaa_contract_detail_sp","JRNENTRY","1576499","aaGLHdrID","1744459","aaGLDistID","19","aaGLAssignID","1","contract","3420 FIA 54 UT 2025 5101"</v>
      </c>
      <c r="L30" s="44">
        <v>45631</v>
      </c>
      <c r="M30" s="31">
        <v>1576499</v>
      </c>
      <c r="N30" s="31" t="str">
        <f>""</f>
        <v/>
      </c>
      <c r="O30" s="31" t="str">
        <f>""</f>
        <v/>
      </c>
      <c r="P30" s="31" t="str">
        <f>""</f>
        <v/>
      </c>
      <c r="Q30" s="45" t="str">
        <f>""</f>
        <v/>
      </c>
      <c r="R30" s="46">
        <v>1000</v>
      </c>
      <c r="S30" s="46">
        <v>0</v>
      </c>
      <c r="T30" s="47">
        <f t="shared" si="0"/>
        <v>1000</v>
      </c>
    </row>
    <row r="31" spans="1:20" s="31" customFormat="1" x14ac:dyDescent="0.25">
      <c r="A31" s="25" t="s">
        <v>25</v>
      </c>
      <c r="B31" s="42"/>
      <c r="C31" s="42"/>
      <c r="D31" s="25"/>
      <c r="E31" s="25"/>
      <c r="F31" s="42" t="e">
        <f t="shared" si="1"/>
        <v>#REF!</v>
      </c>
      <c r="G31" s="42" t="e">
        <f t="shared" si="1"/>
        <v>#REF!</v>
      </c>
      <c r="H31" s="43"/>
      <c r="K31" s="31" t="str">
        <f>"""GP"",""Ute Indian Tribe Membership Fund"",""aaa_contract_detail_sp"",""JRNENTRY"",""1576610"",""aaGLHdrID"",""1744570"",""aaGLDistID"",""15"",""aaGLAssignID"",""1"",""contract"",""3420 FIA 54 UT 2025 5101"""</f>
        <v>"GP","Ute Indian Tribe Membership Fund","aaa_contract_detail_sp","JRNENTRY","1576610","aaGLHdrID","1744570","aaGLDistID","15","aaGLAssignID","1","contract","3420 FIA 54 UT 2025 5101"</v>
      </c>
      <c r="L31" s="44">
        <v>45631</v>
      </c>
      <c r="M31" s="31">
        <v>1576610</v>
      </c>
      <c r="N31" s="31" t="str">
        <f>""</f>
        <v/>
      </c>
      <c r="O31" s="31" t="str">
        <f>""</f>
        <v/>
      </c>
      <c r="P31" s="31" t="str">
        <f>""</f>
        <v/>
      </c>
      <c r="Q31" s="45" t="str">
        <f>""</f>
        <v/>
      </c>
      <c r="R31" s="46">
        <v>2327.15</v>
      </c>
      <c r="S31" s="46">
        <v>0</v>
      </c>
      <c r="T31" s="47">
        <f t="shared" si="0"/>
        <v>2327.15</v>
      </c>
    </row>
    <row r="32" spans="1:20" s="31" customFormat="1" x14ac:dyDescent="0.25">
      <c r="A32" s="25" t="s">
        <v>25</v>
      </c>
      <c r="B32" s="42"/>
      <c r="C32" s="42"/>
      <c r="D32" s="25"/>
      <c r="E32" s="25"/>
      <c r="F32" s="42" t="e">
        <f t="shared" si="1"/>
        <v>#REF!</v>
      </c>
      <c r="G32" s="42" t="e">
        <f t="shared" si="1"/>
        <v>#REF!</v>
      </c>
      <c r="H32" s="43"/>
      <c r="K32" s="31" t="str">
        <f>"""GP"",""Ute Indian Tribe Membership Fund"",""aaa_contract_detail_sp"",""JRNENTRY"",""1576610"",""aaGLHdrID"",""1744570"",""aaGLDistID"",""16"",""aaGLAssignID"",""1"",""contract"",""3420 FIA 54 UT 2025 5101"""</f>
        <v>"GP","Ute Indian Tribe Membership Fund","aaa_contract_detail_sp","JRNENTRY","1576610","aaGLHdrID","1744570","aaGLDistID","16","aaGLAssignID","1","contract","3420 FIA 54 UT 2025 5101"</v>
      </c>
      <c r="L32" s="44">
        <v>45631</v>
      </c>
      <c r="M32" s="31">
        <v>1576610</v>
      </c>
      <c r="N32" s="31" t="str">
        <f>""</f>
        <v/>
      </c>
      <c r="O32" s="31" t="str">
        <f>""</f>
        <v/>
      </c>
      <c r="P32" s="31" t="str">
        <f>""</f>
        <v/>
      </c>
      <c r="Q32" s="45" t="str">
        <f>""</f>
        <v/>
      </c>
      <c r="R32" s="46">
        <v>114.45</v>
      </c>
      <c r="S32" s="46">
        <v>0</v>
      </c>
      <c r="T32" s="47">
        <f t="shared" si="0"/>
        <v>114.45</v>
      </c>
    </row>
    <row r="33" spans="1:20" s="31" customFormat="1" x14ac:dyDescent="0.25">
      <c r="A33" s="25" t="s">
        <v>25</v>
      </c>
      <c r="B33" s="42"/>
      <c r="C33" s="42"/>
      <c r="D33" s="25"/>
      <c r="E33" s="25"/>
      <c r="F33" s="42" t="e">
        <f t="shared" si="1"/>
        <v>#REF!</v>
      </c>
      <c r="G33" s="42" t="e">
        <f t="shared" si="1"/>
        <v>#REF!</v>
      </c>
      <c r="H33" s="43"/>
      <c r="K33" s="31" t="str">
        <f>"""GP"",""Ute Indian Tribe Membership Fund"",""aaa_contract_detail_sp"",""JRNENTRY"",""1576610"",""aaGLHdrID"",""1744570"",""aaGLDistID"",""17"",""aaGLAssignID"",""1"",""contract"",""3420 FIA 54 UT 2025 5101"""</f>
        <v>"GP","Ute Indian Tribe Membership Fund","aaa_contract_detail_sp","JRNENTRY","1576610","aaGLHdrID","1744570","aaGLDistID","17","aaGLAssignID","1","contract","3420 FIA 54 UT 2025 5101"</v>
      </c>
      <c r="L33" s="44">
        <v>45631</v>
      </c>
      <c r="M33" s="31">
        <v>1576610</v>
      </c>
      <c r="N33" s="31" t="str">
        <f>""</f>
        <v/>
      </c>
      <c r="O33" s="31" t="str">
        <f>""</f>
        <v/>
      </c>
      <c r="P33" s="31" t="str">
        <f>""</f>
        <v/>
      </c>
      <c r="Q33" s="45" t="str">
        <f>""</f>
        <v/>
      </c>
      <c r="R33" s="46">
        <v>1000</v>
      </c>
      <c r="S33" s="46">
        <v>0</v>
      </c>
      <c r="T33" s="47">
        <f t="shared" si="0"/>
        <v>1000</v>
      </c>
    </row>
    <row r="34" spans="1:20" s="31" customFormat="1" x14ac:dyDescent="0.25">
      <c r="A34" s="25" t="s">
        <v>25</v>
      </c>
      <c r="B34" s="42"/>
      <c r="C34" s="42"/>
      <c r="D34" s="25"/>
      <c r="E34" s="25"/>
      <c r="F34" s="42" t="e">
        <f t="shared" si="1"/>
        <v>#REF!</v>
      </c>
      <c r="G34" s="42" t="e">
        <f t="shared" si="1"/>
        <v>#REF!</v>
      </c>
      <c r="H34" s="43"/>
      <c r="K34" s="31" t="str">
        <f>"""GP"",""Ute Indian Tribe Membership Fund"",""aaa_contract_detail_sp"",""JRNENTRY"",""1576610"",""aaGLHdrID"",""1744570"",""aaGLDistID"",""18"",""aaGLAssignID"",""1"",""contract"",""3420 FIA 54 UT 2025 5101"""</f>
        <v>"GP","Ute Indian Tribe Membership Fund","aaa_contract_detail_sp","JRNENTRY","1576610","aaGLHdrID","1744570","aaGLDistID","18","aaGLAssignID","1","contract","3420 FIA 54 UT 2025 5101"</v>
      </c>
      <c r="L34" s="44">
        <v>45631</v>
      </c>
      <c r="M34" s="31">
        <v>1576610</v>
      </c>
      <c r="N34" s="31" t="str">
        <f>""</f>
        <v/>
      </c>
      <c r="O34" s="31" t="str">
        <f>""</f>
        <v/>
      </c>
      <c r="P34" s="31" t="str">
        <f>""</f>
        <v/>
      </c>
      <c r="Q34" s="45" t="str">
        <f>""</f>
        <v/>
      </c>
      <c r="R34" s="46">
        <v>202.4</v>
      </c>
      <c r="S34" s="46">
        <v>0</v>
      </c>
      <c r="T34" s="47">
        <f t="shared" si="0"/>
        <v>202.4</v>
      </c>
    </row>
    <row r="35" spans="1:20" s="31" customFormat="1" x14ac:dyDescent="0.25">
      <c r="A35" s="25" t="s">
        <v>25</v>
      </c>
      <c r="B35" s="42"/>
      <c r="C35" s="42"/>
      <c r="D35" s="25"/>
      <c r="E35" s="25"/>
      <c r="F35" s="42" t="e">
        <f t="shared" ref="F35:G55" si="2">F34</f>
        <v>#REF!</v>
      </c>
      <c r="G35" s="42" t="e">
        <f t="shared" si="2"/>
        <v>#REF!</v>
      </c>
      <c r="H35" s="43"/>
      <c r="K35" s="31" t="str">
        <f>"""GP"",""Ute Indian Tribe Membership Fund"",""aaa_contract_detail_sp"",""JRNENTRY"",""1576624"",""aaGLHdrID"",""1744584"",""aaGLDistID"",""15"",""aaGLAssignID"",""1"",""contract"",""3420 FIA 54 UT 2025 5101"""</f>
        <v>"GP","Ute Indian Tribe Membership Fund","aaa_contract_detail_sp","JRNENTRY","1576624","aaGLHdrID","1744584","aaGLDistID","15","aaGLAssignID","1","contract","3420 FIA 54 UT 2025 5101"</v>
      </c>
      <c r="L35" s="44">
        <v>45631</v>
      </c>
      <c r="M35" s="31">
        <v>1576624</v>
      </c>
      <c r="N35" s="31" t="str">
        <f>""</f>
        <v/>
      </c>
      <c r="O35" s="31" t="str">
        <f>""</f>
        <v/>
      </c>
      <c r="P35" s="31" t="str">
        <f>""</f>
        <v/>
      </c>
      <c r="Q35" s="45" t="str">
        <f>""</f>
        <v/>
      </c>
      <c r="R35" s="46">
        <v>2036.64</v>
      </c>
      <c r="S35" s="46">
        <v>0</v>
      </c>
      <c r="T35" s="47">
        <f t="shared" si="0"/>
        <v>2036.64</v>
      </c>
    </row>
    <row r="36" spans="1:20" s="31" customFormat="1" x14ac:dyDescent="0.25">
      <c r="A36" s="25" t="s">
        <v>25</v>
      </c>
      <c r="B36" s="42"/>
      <c r="C36" s="42"/>
      <c r="D36" s="25"/>
      <c r="E36" s="25"/>
      <c r="F36" s="42" t="e">
        <f t="shared" si="2"/>
        <v>#REF!</v>
      </c>
      <c r="G36" s="42" t="e">
        <f t="shared" si="2"/>
        <v>#REF!</v>
      </c>
      <c r="H36" s="43"/>
      <c r="K36" s="31" t="str">
        <f>"""GP"",""Ute Indian Tribe Membership Fund"",""aaa_contract_detail_sp"",""JRNENTRY"",""1576624"",""aaGLHdrID"",""1744584"",""aaGLDistID"",""16"",""aaGLAssignID"",""1"",""contract"",""3420 FIA 54 UT 2025 5101"""</f>
        <v>"GP","Ute Indian Tribe Membership Fund","aaa_contract_detail_sp","JRNENTRY","1576624","aaGLHdrID","1744584","aaGLDistID","16","aaGLAssignID","1","contract","3420 FIA 54 UT 2025 5101"</v>
      </c>
      <c r="L36" s="44">
        <v>45631</v>
      </c>
      <c r="M36" s="31">
        <v>1576624</v>
      </c>
      <c r="N36" s="31" t="str">
        <f>""</f>
        <v/>
      </c>
      <c r="O36" s="31" t="str">
        <f>""</f>
        <v/>
      </c>
      <c r="P36" s="31" t="str">
        <f>""</f>
        <v/>
      </c>
      <c r="Q36" s="45" t="str">
        <f>""</f>
        <v/>
      </c>
      <c r="R36" s="46">
        <v>678.88</v>
      </c>
      <c r="S36" s="46">
        <v>0</v>
      </c>
      <c r="T36" s="47">
        <f t="shared" si="0"/>
        <v>678.88</v>
      </c>
    </row>
    <row r="37" spans="1:20" s="31" customFormat="1" x14ac:dyDescent="0.25">
      <c r="A37" s="25" t="s">
        <v>25</v>
      </c>
      <c r="B37" s="42"/>
      <c r="C37" s="42"/>
      <c r="D37" s="25"/>
      <c r="E37" s="25"/>
      <c r="F37" s="42" t="e">
        <f t="shared" si="2"/>
        <v>#REF!</v>
      </c>
      <c r="G37" s="42" t="e">
        <f t="shared" si="2"/>
        <v>#REF!</v>
      </c>
      <c r="H37" s="43"/>
      <c r="K37" s="31" t="str">
        <f>"""GP"",""Ute Indian Tribe Membership Fund"",""aaa_contract_detail_sp"",""JRNENTRY"",""1576624"",""aaGLHdrID"",""1744584"",""aaGLDistID"",""17"",""aaGLAssignID"",""1"",""contract"",""3420 FIA 54 UT 2025 5101"""</f>
        <v>"GP","Ute Indian Tribe Membership Fund","aaa_contract_detail_sp","JRNENTRY","1576624","aaGLHdrID","1744584","aaGLDistID","17","aaGLAssignID","1","contract","3420 FIA 54 UT 2025 5101"</v>
      </c>
      <c r="L37" s="44">
        <v>45631</v>
      </c>
      <c r="M37" s="31">
        <v>1576624</v>
      </c>
      <c r="N37" s="31" t="str">
        <f>""</f>
        <v/>
      </c>
      <c r="O37" s="31" t="str">
        <f>""</f>
        <v/>
      </c>
      <c r="P37" s="31" t="str">
        <f>""</f>
        <v/>
      </c>
      <c r="Q37" s="45" t="str">
        <f>""</f>
        <v/>
      </c>
      <c r="R37" s="46">
        <v>1000</v>
      </c>
      <c r="S37" s="46">
        <v>0</v>
      </c>
      <c r="T37" s="47">
        <f t="shared" si="0"/>
        <v>1000</v>
      </c>
    </row>
    <row r="38" spans="1:20" s="31" customFormat="1" x14ac:dyDescent="0.25">
      <c r="A38" s="25" t="s">
        <v>25</v>
      </c>
      <c r="B38" s="42"/>
      <c r="C38" s="42"/>
      <c r="D38" s="25"/>
      <c r="E38" s="25"/>
      <c r="F38" s="42" t="e">
        <f t="shared" si="2"/>
        <v>#REF!</v>
      </c>
      <c r="G38" s="42" t="e">
        <f t="shared" si="2"/>
        <v>#REF!</v>
      </c>
      <c r="H38" s="43"/>
      <c r="K38" s="31" t="str">
        <f>"""GP"",""Ute Indian Tribe Membership Fund"",""aaa_contract_detail_sp"",""JRNENTRY"",""1576667"",""aaGLHdrID"",""1744627"",""aaGLDistID"",""14"",""aaGLAssignID"",""1"",""contract"",""3420 FIA 54 UT 2025 5101"""</f>
        <v>"GP","Ute Indian Tribe Membership Fund","aaa_contract_detail_sp","JRNENTRY","1576667","aaGLHdrID","1744627","aaGLDistID","14","aaGLAssignID","1","contract","3420 FIA 54 UT 2025 5101"</v>
      </c>
      <c r="L38" s="44">
        <v>45631</v>
      </c>
      <c r="M38" s="31">
        <v>1576667</v>
      </c>
      <c r="N38" s="31" t="str">
        <f>""</f>
        <v/>
      </c>
      <c r="O38" s="31" t="str">
        <f>""</f>
        <v/>
      </c>
      <c r="P38" s="31" t="str">
        <f>""</f>
        <v/>
      </c>
      <c r="Q38" s="45" t="str">
        <f>""</f>
        <v/>
      </c>
      <c r="R38" s="46">
        <v>3094.4</v>
      </c>
      <c r="S38" s="46">
        <v>0</v>
      </c>
      <c r="T38" s="47">
        <f t="shared" si="0"/>
        <v>3094.4</v>
      </c>
    </row>
    <row r="39" spans="1:20" s="31" customFormat="1" x14ac:dyDescent="0.25">
      <c r="A39" s="25" t="s">
        <v>25</v>
      </c>
      <c r="B39" s="42"/>
      <c r="C39" s="42"/>
      <c r="D39" s="25"/>
      <c r="E39" s="25"/>
      <c r="F39" s="42" t="e">
        <f t="shared" si="2"/>
        <v>#REF!</v>
      </c>
      <c r="G39" s="42" t="e">
        <f t="shared" si="2"/>
        <v>#REF!</v>
      </c>
      <c r="H39" s="43"/>
      <c r="K39" s="31" t="str">
        <f>"""GP"",""Ute Indian Tribe Membership Fund"",""aaa_contract_detail_sp"",""JRNENTRY"",""1576667"",""aaGLHdrID"",""1744627"",""aaGLDistID"",""15"",""aaGLAssignID"",""1"",""contract"",""3420 FIA 54 UT 2025 5101"""</f>
        <v>"GP","Ute Indian Tribe Membership Fund","aaa_contract_detail_sp","JRNENTRY","1576667","aaGLHdrID","1744627","aaGLDistID","15","aaGLAssignID","1","contract","3420 FIA 54 UT 2025 5101"</v>
      </c>
      <c r="L39" s="44">
        <v>45631</v>
      </c>
      <c r="M39" s="31">
        <v>1576667</v>
      </c>
      <c r="N39" s="31" t="str">
        <f>""</f>
        <v/>
      </c>
      <c r="O39" s="31" t="str">
        <f>""</f>
        <v/>
      </c>
      <c r="P39" s="31" t="str">
        <f>""</f>
        <v/>
      </c>
      <c r="Q39" s="45" t="str">
        <f>""</f>
        <v/>
      </c>
      <c r="R39" s="46">
        <v>1000</v>
      </c>
      <c r="S39" s="46">
        <v>0</v>
      </c>
      <c r="T39" s="47">
        <f t="shared" si="0"/>
        <v>1000</v>
      </c>
    </row>
    <row r="40" spans="1:20" s="31" customFormat="1" x14ac:dyDescent="0.25">
      <c r="A40" s="25" t="s">
        <v>25</v>
      </c>
      <c r="B40" s="42"/>
      <c r="C40" s="42"/>
      <c r="D40" s="25"/>
      <c r="E40" s="25"/>
      <c r="F40" s="42" t="e">
        <f t="shared" si="2"/>
        <v>#REF!</v>
      </c>
      <c r="G40" s="42" t="e">
        <f t="shared" si="2"/>
        <v>#REF!</v>
      </c>
      <c r="H40" s="43"/>
      <c r="K40" s="31" t="str">
        <f>"""GP"",""Ute Indian Tribe Membership Fund"",""aaa_contract_detail_sp"",""JRNENTRY"",""1579589"",""aaGLHdrID"",""1747478"",""aaGLDistID"",""17"",""aaGLAssignID"",""1"",""contract"",""3420 FIA 54 UT 2025 5101"""</f>
        <v>"GP","Ute Indian Tribe Membership Fund","aaa_contract_detail_sp","JRNENTRY","1579589","aaGLHdrID","1747478","aaGLDistID","17","aaGLAssignID","1","contract","3420 FIA 54 UT 2025 5101"</v>
      </c>
      <c r="L40" s="44">
        <v>45645</v>
      </c>
      <c r="M40" s="31">
        <v>1579589</v>
      </c>
      <c r="N40" s="31" t="str">
        <f>""</f>
        <v/>
      </c>
      <c r="O40" s="31" t="str">
        <f>""</f>
        <v/>
      </c>
      <c r="P40" s="31" t="str">
        <f>""</f>
        <v/>
      </c>
      <c r="Q40" s="45" t="str">
        <f>""</f>
        <v/>
      </c>
      <c r="R40" s="46">
        <v>2824.32</v>
      </c>
      <c r="S40" s="46">
        <v>0</v>
      </c>
      <c r="T40" s="47">
        <f t="shared" si="0"/>
        <v>2824.32</v>
      </c>
    </row>
    <row r="41" spans="1:20" s="31" customFormat="1" x14ac:dyDescent="0.25">
      <c r="A41" s="25" t="s">
        <v>25</v>
      </c>
      <c r="B41" s="42"/>
      <c r="C41" s="42"/>
      <c r="D41" s="25"/>
      <c r="E41" s="25"/>
      <c r="F41" s="42" t="e">
        <f t="shared" si="2"/>
        <v>#REF!</v>
      </c>
      <c r="G41" s="42" t="e">
        <f t="shared" si="2"/>
        <v>#REF!</v>
      </c>
      <c r="H41" s="43"/>
      <c r="K41" s="31" t="str">
        <f>"""GP"",""Ute Indian Tribe Membership Fund"",""aaa_contract_detail_sp"",""JRNENTRY"",""1579589"",""aaGLHdrID"",""1747478"",""aaGLDistID"",""18"",""aaGLAssignID"",""1"",""contract"",""3420 FIA 54 UT 2025 5101"""</f>
        <v>"GP","Ute Indian Tribe Membership Fund","aaa_contract_detail_sp","JRNENTRY","1579589","aaGLHdrID","1747478","aaGLDistID","18","aaGLAssignID","1","contract","3420 FIA 54 UT 2025 5101"</v>
      </c>
      <c r="L41" s="44">
        <v>45645</v>
      </c>
      <c r="M41" s="31">
        <v>1579589</v>
      </c>
      <c r="N41" s="31" t="str">
        <f>""</f>
        <v/>
      </c>
      <c r="O41" s="31" t="str">
        <f>""</f>
        <v/>
      </c>
      <c r="P41" s="31" t="str">
        <f>""</f>
        <v/>
      </c>
      <c r="Q41" s="45" t="str">
        <f>""</f>
        <v/>
      </c>
      <c r="R41" s="46">
        <v>462.4</v>
      </c>
      <c r="S41" s="46">
        <v>0</v>
      </c>
      <c r="T41" s="47">
        <f t="shared" si="0"/>
        <v>462.4</v>
      </c>
    </row>
    <row r="42" spans="1:20" s="31" customFormat="1" x14ac:dyDescent="0.25">
      <c r="A42" s="25" t="s">
        <v>25</v>
      </c>
      <c r="B42" s="42"/>
      <c r="C42" s="42"/>
      <c r="D42" s="25"/>
      <c r="E42" s="25"/>
      <c r="F42" s="42" t="e">
        <f t="shared" si="2"/>
        <v>#REF!</v>
      </c>
      <c r="G42" s="42" t="e">
        <f t="shared" si="2"/>
        <v>#REF!</v>
      </c>
      <c r="H42" s="43"/>
      <c r="K42" s="31" t="str">
        <f>"""GP"",""Ute Indian Tribe Membership Fund"",""aaa_contract_detail_sp"",""JRNENTRY"",""1579589"",""aaGLHdrID"",""1747478"",""aaGLDistID"",""19"",""aaGLAssignID"",""1"",""contract"",""3420 FIA 54 UT 2025 5101"""</f>
        <v>"GP","Ute Indian Tribe Membership Fund","aaa_contract_detail_sp","JRNENTRY","1579589","aaGLHdrID","1747478","aaGLDistID","19","aaGLAssignID","1","contract","3420 FIA 54 UT 2025 5101"</v>
      </c>
      <c r="L42" s="44">
        <v>45645</v>
      </c>
      <c r="M42" s="31">
        <v>1579589</v>
      </c>
      <c r="N42" s="31" t="str">
        <f>""</f>
        <v/>
      </c>
      <c r="O42" s="31" t="str">
        <f>""</f>
        <v/>
      </c>
      <c r="P42" s="31" t="str">
        <f>""</f>
        <v/>
      </c>
      <c r="Q42" s="45" t="str">
        <f>""</f>
        <v/>
      </c>
      <c r="R42" s="46">
        <v>500</v>
      </c>
      <c r="S42" s="46">
        <v>0</v>
      </c>
      <c r="T42" s="47">
        <f t="shared" si="0"/>
        <v>500</v>
      </c>
    </row>
    <row r="43" spans="1:20" s="31" customFormat="1" x14ac:dyDescent="0.25">
      <c r="A43" s="25" t="s">
        <v>25</v>
      </c>
      <c r="B43" s="42"/>
      <c r="C43" s="42"/>
      <c r="D43" s="25"/>
      <c r="E43" s="25"/>
      <c r="F43" s="42" t="e">
        <f t="shared" si="2"/>
        <v>#REF!</v>
      </c>
      <c r="G43" s="42" t="e">
        <f t="shared" si="2"/>
        <v>#REF!</v>
      </c>
      <c r="H43" s="43"/>
      <c r="K43" s="31" t="str">
        <f>"""GP"",""Ute Indian Tribe Membership Fund"",""aaa_contract_detail_sp"",""JRNENTRY"",""1579700"",""aaGLHdrID"",""1747589"",""aaGLDistID"",""15"",""aaGLAssignID"",""1"",""contract"",""3420 FIA 54 UT 2025 5101"""</f>
        <v>"GP","Ute Indian Tribe Membership Fund","aaa_contract_detail_sp","JRNENTRY","1579700","aaGLHdrID","1747589","aaGLDistID","15","aaGLAssignID","1","contract","3420 FIA 54 UT 2025 5101"</v>
      </c>
      <c r="L43" s="44">
        <v>45645</v>
      </c>
      <c r="M43" s="31">
        <v>1579700</v>
      </c>
      <c r="N43" s="31" t="str">
        <f>""</f>
        <v/>
      </c>
      <c r="O43" s="31" t="str">
        <f>""</f>
        <v/>
      </c>
      <c r="P43" s="31" t="str">
        <f>""</f>
        <v/>
      </c>
      <c r="Q43" s="45" t="str">
        <f>""</f>
        <v/>
      </c>
      <c r="R43" s="46">
        <v>2619.52</v>
      </c>
      <c r="S43" s="46">
        <v>0</v>
      </c>
      <c r="T43" s="47">
        <f t="shared" si="0"/>
        <v>2619.52</v>
      </c>
    </row>
    <row r="44" spans="1:20" s="31" customFormat="1" x14ac:dyDescent="0.25">
      <c r="A44" s="25" t="s">
        <v>25</v>
      </c>
      <c r="B44" s="42"/>
      <c r="C44" s="42"/>
      <c r="D44" s="25"/>
      <c r="E44" s="25"/>
      <c r="F44" s="42" t="e">
        <f t="shared" si="2"/>
        <v>#REF!</v>
      </c>
      <c r="G44" s="42" t="e">
        <f t="shared" si="2"/>
        <v>#REF!</v>
      </c>
      <c r="H44" s="43"/>
      <c r="K44" s="31" t="str">
        <f>"""GP"",""Ute Indian Tribe Membership Fund"",""aaa_contract_detail_sp"",""JRNENTRY"",""1579700"",""aaGLHdrID"",""1747589"",""aaGLDistID"",""16"",""aaGLAssignID"",""1"",""contract"",""3420 FIA 54 UT 2025 5101"""</f>
        <v>"GP","Ute Indian Tribe Membership Fund","aaa_contract_detail_sp","JRNENTRY","1579700","aaGLHdrID","1747589","aaGLDistID","16","aaGLAssignID","1","contract","3420 FIA 54 UT 2025 5101"</v>
      </c>
      <c r="L44" s="44">
        <v>45645</v>
      </c>
      <c r="M44" s="31">
        <v>1579700</v>
      </c>
      <c r="N44" s="31" t="str">
        <f>""</f>
        <v/>
      </c>
      <c r="O44" s="31" t="str">
        <f>""</f>
        <v/>
      </c>
      <c r="P44" s="31" t="str">
        <f>""</f>
        <v/>
      </c>
      <c r="Q44" s="45" t="str">
        <f>""</f>
        <v/>
      </c>
      <c r="R44" s="46">
        <v>416.16</v>
      </c>
      <c r="S44" s="46">
        <v>0</v>
      </c>
      <c r="T44" s="47">
        <f t="shared" si="0"/>
        <v>416.16</v>
      </c>
    </row>
    <row r="45" spans="1:20" s="31" customFormat="1" x14ac:dyDescent="0.25">
      <c r="A45" s="25" t="s">
        <v>25</v>
      </c>
      <c r="B45" s="42"/>
      <c r="C45" s="42"/>
      <c r="D45" s="25"/>
      <c r="E45" s="25"/>
      <c r="F45" s="42" t="e">
        <f t="shared" si="2"/>
        <v>#REF!</v>
      </c>
      <c r="G45" s="42" t="e">
        <f t="shared" si="2"/>
        <v>#REF!</v>
      </c>
      <c r="H45" s="43"/>
      <c r="K45" s="31" t="str">
        <f>"""GP"",""Ute Indian Tribe Membership Fund"",""aaa_contract_detail_sp"",""JRNENTRY"",""1579713"",""aaGLHdrID"",""1747602"",""aaGLDistID"",""15"",""aaGLAssignID"",""1"",""contract"",""3420 FIA 54 UT 2025 5101"""</f>
        <v>"GP","Ute Indian Tribe Membership Fund","aaa_contract_detail_sp","JRNENTRY","1579713","aaGLHdrID","1747602","aaGLDistID","15","aaGLAssignID","1","contract","3420 FIA 54 UT 2025 5101"</v>
      </c>
      <c r="L45" s="44">
        <v>45645</v>
      </c>
      <c r="M45" s="31">
        <v>1579713</v>
      </c>
      <c r="N45" s="31" t="str">
        <f>""</f>
        <v/>
      </c>
      <c r="O45" s="31" t="str">
        <f>""</f>
        <v/>
      </c>
      <c r="P45" s="31" t="str">
        <f>""</f>
        <v/>
      </c>
      <c r="Q45" s="45" t="str">
        <f>""</f>
        <v/>
      </c>
      <c r="R45" s="46">
        <v>2824.32</v>
      </c>
      <c r="S45" s="46">
        <v>0</v>
      </c>
      <c r="T45" s="47">
        <f t="shared" si="0"/>
        <v>2824.32</v>
      </c>
    </row>
    <row r="46" spans="1:20" s="31" customFormat="1" x14ac:dyDescent="0.25">
      <c r="A46" s="25" t="s">
        <v>25</v>
      </c>
      <c r="B46" s="42"/>
      <c r="C46" s="42"/>
      <c r="D46" s="25"/>
      <c r="E46" s="25"/>
      <c r="F46" s="42" t="e">
        <f t="shared" si="2"/>
        <v>#REF!</v>
      </c>
      <c r="G46" s="42" t="e">
        <f t="shared" si="2"/>
        <v>#REF!</v>
      </c>
      <c r="H46" s="43"/>
      <c r="K46" s="31" t="str">
        <f>"""GP"",""Ute Indian Tribe Membership Fund"",""aaa_contract_detail_sp"",""JRNENTRY"",""1579713"",""aaGLHdrID"",""1747602"",""aaGLDistID"",""16"",""aaGLAssignID"",""1"",""contract"",""3420 FIA 54 UT 2025 5101"""</f>
        <v>"GP","Ute Indian Tribe Membership Fund","aaa_contract_detail_sp","JRNENTRY","1579713","aaGLHdrID","1747602","aaGLDistID","16","aaGLAssignID","1","contract","3420 FIA 54 UT 2025 5101"</v>
      </c>
      <c r="L46" s="44">
        <v>45645</v>
      </c>
      <c r="M46" s="31">
        <v>1579713</v>
      </c>
      <c r="N46" s="31" t="str">
        <f>""</f>
        <v/>
      </c>
      <c r="O46" s="31" t="str">
        <f>""</f>
        <v/>
      </c>
      <c r="P46" s="31" t="str">
        <f>""</f>
        <v/>
      </c>
      <c r="Q46" s="45" t="str">
        <f>""</f>
        <v/>
      </c>
      <c r="R46" s="46">
        <v>462.4</v>
      </c>
      <c r="S46" s="46">
        <v>0</v>
      </c>
      <c r="T46" s="47">
        <f t="shared" si="0"/>
        <v>462.4</v>
      </c>
    </row>
    <row r="47" spans="1:20" s="31" customFormat="1" x14ac:dyDescent="0.25">
      <c r="A47" s="25" t="s">
        <v>25</v>
      </c>
      <c r="B47" s="42"/>
      <c r="C47" s="42"/>
      <c r="D47" s="25"/>
      <c r="E47" s="25"/>
      <c r="F47" s="42" t="e">
        <f t="shared" si="2"/>
        <v>#REF!</v>
      </c>
      <c r="G47" s="42" t="e">
        <f t="shared" si="2"/>
        <v>#REF!</v>
      </c>
      <c r="H47" s="43"/>
      <c r="K47" s="31" t="str">
        <f>"""GP"",""Ute Indian Tribe Membership Fund"",""aaa_contract_detail_sp"",""JRNENTRY"",""1579713"",""aaGLHdrID"",""1747602"",""aaGLDistID"",""17"",""aaGLAssignID"",""1"",""contract"",""3420 FIA 54 UT 2025 5101"""</f>
        <v>"GP","Ute Indian Tribe Membership Fund","aaa_contract_detail_sp","JRNENTRY","1579713","aaGLHdrID","1747602","aaGLDistID","17","aaGLAssignID","1","contract","3420 FIA 54 UT 2025 5101"</v>
      </c>
      <c r="L47" s="44">
        <v>45645</v>
      </c>
      <c r="M47" s="31">
        <v>1579713</v>
      </c>
      <c r="N47" s="31" t="str">
        <f>""</f>
        <v/>
      </c>
      <c r="O47" s="31" t="str">
        <f>""</f>
        <v/>
      </c>
      <c r="P47" s="31" t="str">
        <f>""</f>
        <v/>
      </c>
      <c r="Q47" s="45" t="str">
        <f>""</f>
        <v/>
      </c>
      <c r="R47" s="46">
        <v>500</v>
      </c>
      <c r="S47" s="46">
        <v>0</v>
      </c>
      <c r="T47" s="47">
        <f t="shared" si="0"/>
        <v>500</v>
      </c>
    </row>
    <row r="48" spans="1:20" s="31" customFormat="1" x14ac:dyDescent="0.25">
      <c r="A48" s="25" t="s">
        <v>25</v>
      </c>
      <c r="B48" s="42"/>
      <c r="C48" s="42"/>
      <c r="D48" s="25"/>
      <c r="E48" s="25"/>
      <c r="F48" s="42" t="e">
        <f t="shared" si="2"/>
        <v>#REF!</v>
      </c>
      <c r="G48" s="42" t="e">
        <f t="shared" si="2"/>
        <v>#REF!</v>
      </c>
      <c r="H48" s="43"/>
      <c r="K48" s="31" t="str">
        <f>"""GP"",""Ute Indian Tribe Membership Fund"",""aaa_contract_detail_sp"",""JRNENTRY"",""1579755"",""aaGLHdrID"",""1747644"",""aaGLDistID"",""14"",""aaGLAssignID"",""1"",""contract"",""3420 FIA 54 UT 2025 5101"""</f>
        <v>"GP","Ute Indian Tribe Membership Fund","aaa_contract_detail_sp","JRNENTRY","1579755","aaGLHdrID","1747644","aaGLDistID","14","aaGLAssignID","1","contract","3420 FIA 54 UT 2025 5101"</v>
      </c>
      <c r="L48" s="44">
        <v>45645</v>
      </c>
      <c r="M48" s="31">
        <v>1579755</v>
      </c>
      <c r="N48" s="31" t="str">
        <f>""</f>
        <v/>
      </c>
      <c r="O48" s="31" t="str">
        <f>""</f>
        <v/>
      </c>
      <c r="P48" s="31" t="str">
        <f>""</f>
        <v/>
      </c>
      <c r="Q48" s="45" t="str">
        <f>""</f>
        <v/>
      </c>
      <c r="R48" s="46">
        <v>3217.92</v>
      </c>
      <c r="S48" s="46">
        <v>0</v>
      </c>
      <c r="T48" s="47">
        <f t="shared" si="0"/>
        <v>3217.92</v>
      </c>
    </row>
    <row r="49" spans="1:20" s="31" customFormat="1" x14ac:dyDescent="0.25">
      <c r="A49" s="25" t="s">
        <v>25</v>
      </c>
      <c r="B49" s="42"/>
      <c r="C49" s="42"/>
      <c r="D49" s="25"/>
      <c r="E49" s="25"/>
      <c r="F49" s="42" t="e">
        <f t="shared" si="2"/>
        <v>#REF!</v>
      </c>
      <c r="G49" s="42" t="e">
        <f t="shared" si="2"/>
        <v>#REF!</v>
      </c>
      <c r="H49" s="43"/>
      <c r="K49" s="31" t="str">
        <f>"""GP"",""Ute Indian Tribe Membership Fund"",""aaa_contract_detail_sp"",""JRNENTRY"",""1579755"",""aaGLHdrID"",""1747644"",""aaGLDistID"",""15"",""aaGLAssignID"",""1"",""contract"",""3420 FIA 54 UT 2025 5101"""</f>
        <v>"GP","Ute Indian Tribe Membership Fund","aaa_contract_detail_sp","JRNENTRY","1579755","aaGLHdrID","1747644","aaGLDistID","15","aaGLAssignID","1","contract","3420 FIA 54 UT 2025 5101"</v>
      </c>
      <c r="L49" s="44">
        <v>45645</v>
      </c>
      <c r="M49" s="31">
        <v>1579755</v>
      </c>
      <c r="N49" s="31" t="str">
        <f>""</f>
        <v/>
      </c>
      <c r="O49" s="31" t="str">
        <f>""</f>
        <v/>
      </c>
      <c r="P49" s="31" t="str">
        <f>""</f>
        <v/>
      </c>
      <c r="Q49" s="45" t="str">
        <f>""</f>
        <v/>
      </c>
      <c r="R49" s="46">
        <v>524.96</v>
      </c>
      <c r="S49" s="46">
        <v>0</v>
      </c>
      <c r="T49" s="47">
        <f t="shared" si="0"/>
        <v>524.96</v>
      </c>
    </row>
    <row r="50" spans="1:20" s="31" customFormat="1" x14ac:dyDescent="0.25">
      <c r="A50" s="25" t="s">
        <v>25</v>
      </c>
      <c r="B50" s="42"/>
      <c r="C50" s="42"/>
      <c r="D50" s="25"/>
      <c r="E50" s="25"/>
      <c r="F50" s="42" t="e">
        <f t="shared" si="2"/>
        <v>#REF!</v>
      </c>
      <c r="G50" s="42" t="e">
        <f t="shared" si="2"/>
        <v>#REF!</v>
      </c>
      <c r="H50" s="43"/>
      <c r="K50" s="31" t="str">
        <f>"""GP"",""Ute Indian Tribe Membership Fund"",""aaa_contract_detail_sp"",""JRNENTRY"",""1579755"",""aaGLHdrID"",""1747644"",""aaGLDistID"",""16"",""aaGLAssignID"",""1"",""contract"",""3420 FIA 54 UT 2025 5101"""</f>
        <v>"GP","Ute Indian Tribe Membership Fund","aaa_contract_detail_sp","JRNENTRY","1579755","aaGLHdrID","1747644","aaGLDistID","16","aaGLAssignID","1","contract","3420 FIA 54 UT 2025 5101"</v>
      </c>
      <c r="L50" s="44">
        <v>45645</v>
      </c>
      <c r="M50" s="31">
        <v>1579755</v>
      </c>
      <c r="N50" s="31" t="str">
        <f>""</f>
        <v/>
      </c>
      <c r="O50" s="31" t="str">
        <f>""</f>
        <v/>
      </c>
      <c r="P50" s="31" t="str">
        <f>""</f>
        <v/>
      </c>
      <c r="Q50" s="45" t="str">
        <f>""</f>
        <v/>
      </c>
      <c r="R50" s="46">
        <v>1500</v>
      </c>
      <c r="S50" s="46">
        <v>0</v>
      </c>
      <c r="T50" s="47">
        <f t="shared" si="0"/>
        <v>1500</v>
      </c>
    </row>
    <row r="51" spans="1:20" s="31" customFormat="1" x14ac:dyDescent="0.25">
      <c r="A51" s="25" t="s">
        <v>25</v>
      </c>
      <c r="B51" s="42"/>
      <c r="C51" s="42"/>
      <c r="D51" s="25"/>
      <c r="E51" s="25"/>
      <c r="F51" s="42" t="e">
        <f t="shared" si="2"/>
        <v>#REF!</v>
      </c>
      <c r="G51" s="42" t="e">
        <f t="shared" si="2"/>
        <v>#REF!</v>
      </c>
      <c r="H51" s="43"/>
      <c r="K51" s="31" t="str">
        <f>"""GP"",""Ute Indian Tribe Membership Fund"",""aaa_contract_detail_sp"",""JRNENTRY"",""1580661"",""aaGLHdrID"",""1748400"",""aaGLDistID"",""17"",""aaGLAssignID"",""1"",""contract"",""3420 FIA 54 UT 2025 5101"""</f>
        <v>"GP","Ute Indian Tribe Membership Fund","aaa_contract_detail_sp","JRNENTRY","1580661","aaGLHdrID","1748400","aaGLDistID","17","aaGLAssignID","1","contract","3420 FIA 54 UT 2025 5101"</v>
      </c>
      <c r="L51" s="44">
        <v>45656</v>
      </c>
      <c r="M51" s="31">
        <v>1580661</v>
      </c>
      <c r="N51" s="31" t="str">
        <f>""</f>
        <v/>
      </c>
      <c r="O51" s="31" t="str">
        <f>""</f>
        <v/>
      </c>
      <c r="P51" s="31" t="str">
        <f>""</f>
        <v/>
      </c>
      <c r="Q51" s="45" t="str">
        <f>""</f>
        <v/>
      </c>
      <c r="R51" s="46">
        <v>2824.32</v>
      </c>
      <c r="S51" s="46">
        <v>0</v>
      </c>
      <c r="T51" s="47">
        <f t="shared" si="0"/>
        <v>2824.32</v>
      </c>
    </row>
    <row r="52" spans="1:20" s="31" customFormat="1" x14ac:dyDescent="0.25">
      <c r="A52" s="25" t="s">
        <v>25</v>
      </c>
      <c r="B52" s="42"/>
      <c r="C52" s="42"/>
      <c r="D52" s="25"/>
      <c r="E52" s="25"/>
      <c r="F52" s="42" t="e">
        <f t="shared" si="2"/>
        <v>#REF!</v>
      </c>
      <c r="G52" s="42" t="e">
        <f t="shared" si="2"/>
        <v>#REF!</v>
      </c>
      <c r="H52" s="43"/>
      <c r="K52" s="31" t="str">
        <f>"""GP"",""Ute Indian Tribe Membership Fund"",""aaa_contract_detail_sp"",""JRNENTRY"",""1580661"",""aaGLHdrID"",""1748400"",""aaGLDistID"",""18"",""aaGLAssignID"",""1"",""contract"",""3420 FIA 54 UT 2025 5101"""</f>
        <v>"GP","Ute Indian Tribe Membership Fund","aaa_contract_detail_sp","JRNENTRY","1580661","aaGLHdrID","1748400","aaGLDistID","18","aaGLAssignID","1","contract","3420 FIA 54 UT 2025 5101"</v>
      </c>
      <c r="L52" s="44">
        <v>45656</v>
      </c>
      <c r="M52" s="31">
        <v>1580661</v>
      </c>
      <c r="N52" s="31" t="str">
        <f>""</f>
        <v/>
      </c>
      <c r="O52" s="31" t="str">
        <f>""</f>
        <v/>
      </c>
      <c r="P52" s="31" t="str">
        <f>""</f>
        <v/>
      </c>
      <c r="Q52" s="45" t="str">
        <f>""</f>
        <v/>
      </c>
      <c r="R52" s="46">
        <v>200</v>
      </c>
      <c r="S52" s="46">
        <v>0</v>
      </c>
      <c r="T52" s="47">
        <f t="shared" si="0"/>
        <v>200</v>
      </c>
    </row>
    <row r="53" spans="1:20" s="31" customFormat="1" x14ac:dyDescent="0.25">
      <c r="A53" s="25" t="s">
        <v>25</v>
      </c>
      <c r="B53" s="42"/>
      <c r="C53" s="42"/>
      <c r="D53" s="25"/>
      <c r="E53" s="25"/>
      <c r="F53" s="42" t="e">
        <f t="shared" si="2"/>
        <v>#REF!</v>
      </c>
      <c r="G53" s="42" t="e">
        <f t="shared" si="2"/>
        <v>#REF!</v>
      </c>
      <c r="H53" s="43"/>
      <c r="K53" s="31" t="str">
        <f>"""GP"",""Ute Indian Tribe Membership Fund"",""aaa_contract_detail_sp"",""JRNENTRY"",""1580770"",""aaGLHdrID"",""1748509"",""aaGLDistID"",""15"",""aaGLAssignID"",""1"",""contract"",""3420 FIA 54 UT 2025 5101"""</f>
        <v>"GP","Ute Indian Tribe Membership Fund","aaa_contract_detail_sp","JRNENTRY","1580770","aaGLHdrID","1748509","aaGLDistID","15","aaGLAssignID","1","contract","3420 FIA 54 UT 2025 5101"</v>
      </c>
      <c r="L53" s="44">
        <v>45656</v>
      </c>
      <c r="M53" s="31">
        <v>1580770</v>
      </c>
      <c r="N53" s="31" t="str">
        <f>""</f>
        <v/>
      </c>
      <c r="O53" s="31" t="str">
        <f>""</f>
        <v/>
      </c>
      <c r="P53" s="31" t="str">
        <f>""</f>
        <v/>
      </c>
      <c r="Q53" s="45" t="str">
        <f>""</f>
        <v/>
      </c>
      <c r="R53" s="46">
        <v>2619.52</v>
      </c>
      <c r="S53" s="46">
        <v>0</v>
      </c>
      <c r="T53" s="47">
        <f t="shared" si="0"/>
        <v>2619.52</v>
      </c>
    </row>
    <row r="54" spans="1:20" s="31" customFormat="1" x14ac:dyDescent="0.25">
      <c r="A54" s="25" t="s">
        <v>25</v>
      </c>
      <c r="B54" s="42"/>
      <c r="C54" s="42"/>
      <c r="D54" s="25"/>
      <c r="E54" s="25"/>
      <c r="F54" s="42" t="e">
        <f t="shared" si="2"/>
        <v>#REF!</v>
      </c>
      <c r="G54" s="42" t="e">
        <f t="shared" si="2"/>
        <v>#REF!</v>
      </c>
      <c r="H54" s="43"/>
      <c r="K54" s="31" t="str">
        <f>"""GP"",""Ute Indian Tribe Membership Fund"",""aaa_contract_detail_sp"",""JRNENTRY"",""1580783"",""aaGLHdrID"",""1748522"",""aaGLDistID"",""15"",""aaGLAssignID"",""1"",""contract"",""3420 FIA 54 UT 2025 5101"""</f>
        <v>"GP","Ute Indian Tribe Membership Fund","aaa_contract_detail_sp","JRNENTRY","1580783","aaGLHdrID","1748522","aaGLDistID","15","aaGLAssignID","1","contract","3420 FIA 54 UT 2025 5101"</v>
      </c>
      <c r="L54" s="44">
        <v>45656</v>
      </c>
      <c r="M54" s="31">
        <v>1580783</v>
      </c>
      <c r="N54" s="31" t="str">
        <f>""</f>
        <v/>
      </c>
      <c r="O54" s="31" t="str">
        <f>""</f>
        <v/>
      </c>
      <c r="P54" s="31" t="str">
        <f>""</f>
        <v/>
      </c>
      <c r="Q54" s="45" t="str">
        <f>""</f>
        <v/>
      </c>
      <c r="R54" s="46">
        <v>2824.32</v>
      </c>
      <c r="S54" s="46">
        <v>0</v>
      </c>
      <c r="T54" s="47">
        <f t="shared" si="0"/>
        <v>2824.32</v>
      </c>
    </row>
    <row r="55" spans="1:20" s="31" customFormat="1" x14ac:dyDescent="0.25">
      <c r="A55" s="25" t="s">
        <v>25</v>
      </c>
      <c r="B55" s="42"/>
      <c r="C55" s="42"/>
      <c r="D55" s="25"/>
      <c r="E55" s="25"/>
      <c r="F55" s="42" t="e">
        <f t="shared" si="2"/>
        <v>#REF!</v>
      </c>
      <c r="G55" s="42" t="e">
        <f t="shared" si="2"/>
        <v>#REF!</v>
      </c>
      <c r="H55" s="43"/>
      <c r="K55" s="31" t="str">
        <f>"""GP"",""Ute Indian Tribe Membership Fund"",""aaa_contract_detail_sp"",""JRNENTRY"",""1580823"",""aaGLHdrID"",""1748562"",""aaGLDistID"",""14"",""aaGLAssignID"",""1"",""contract"",""3420 FIA 54 UT 2025 5101"""</f>
        <v>"GP","Ute Indian Tribe Membership Fund","aaa_contract_detail_sp","JRNENTRY","1580823","aaGLHdrID","1748562","aaGLDistID","14","aaGLAssignID","1","contract","3420 FIA 54 UT 2025 5101"</v>
      </c>
      <c r="L55" s="44">
        <v>45656</v>
      </c>
      <c r="M55" s="31">
        <v>1580823</v>
      </c>
      <c r="N55" s="31" t="str">
        <f>""</f>
        <v/>
      </c>
      <c r="O55" s="31" t="str">
        <f>""</f>
        <v/>
      </c>
      <c r="P55" s="31" t="str">
        <f>""</f>
        <v/>
      </c>
      <c r="Q55" s="45" t="str">
        <f>""</f>
        <v/>
      </c>
      <c r="R55" s="46">
        <v>3217.92</v>
      </c>
      <c r="S55" s="46">
        <v>0</v>
      </c>
      <c r="T55" s="47">
        <f t="shared" si="0"/>
        <v>3217.92</v>
      </c>
    </row>
    <row r="56" spans="1:20" s="31" customFormat="1" x14ac:dyDescent="0.25">
      <c r="A56" s="25"/>
      <c r="B56" s="42"/>
      <c r="C56" s="42"/>
      <c r="D56" s="25"/>
      <c r="E56" s="25"/>
      <c r="F56" s="42" t="e">
        <f>#REF!</f>
        <v>#REF!</v>
      </c>
      <c r="G56" s="42" t="e">
        <f>#REF!</f>
        <v>#REF!</v>
      </c>
      <c r="H56" s="43"/>
    </row>
    <row r="57" spans="1:20" s="31" customFormat="1" x14ac:dyDescent="0.25">
      <c r="A57" s="25"/>
      <c r="B57" s="25"/>
      <c r="C57" s="25"/>
      <c r="D57" s="25"/>
      <c r="E57" s="25"/>
      <c r="F57" s="25"/>
      <c r="G57" s="25"/>
      <c r="H57" s="30"/>
      <c r="I57" s="54" t="str">
        <f>I17&amp;"   "&amp;J17&amp;"         Total:"</f>
        <v>5021-0-6100-3420   Salaries &amp; Wages         Total:</v>
      </c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48">
        <f>SUBTOTAL(9,T18:T56)</f>
        <v>64970.399999999994</v>
      </c>
    </row>
    <row r="60" spans="1:20" s="31" customFormat="1" ht="12.75" x14ac:dyDescent="0.2">
      <c r="A60" s="25" t="s">
        <v>25</v>
      </c>
      <c r="B60" s="25"/>
      <c r="C60" s="25"/>
      <c r="D60" s="25"/>
      <c r="E60" s="25"/>
      <c r="F60" s="25" t="str">
        <f>"5021-0-6110-3420"</f>
        <v>5021-0-6110-3420</v>
      </c>
      <c r="G60" s="25" t="str">
        <f>"5021-0-6110-3420"</f>
        <v>5021-0-6110-3420</v>
      </c>
      <c r="H60" s="30"/>
      <c r="I60" s="40" t="str">
        <f>G60</f>
        <v>5021-0-6110-3420</v>
      </c>
      <c r="J60" s="40" t="str">
        <f>"Taxes"</f>
        <v>Taxes</v>
      </c>
      <c r="Q60" s="40"/>
      <c r="R60" s="41"/>
    </row>
    <row r="61" spans="1:20" s="31" customFormat="1" x14ac:dyDescent="0.25">
      <c r="A61" s="25" t="s">
        <v>25</v>
      </c>
      <c r="B61" s="42"/>
      <c r="C61" s="42"/>
      <c r="D61" s="25"/>
      <c r="E61" s="25"/>
      <c r="F61" s="42" t="e">
        <f>#REF!</f>
        <v>#REF!</v>
      </c>
      <c r="G61" s="42" t="e">
        <f>#REF!</f>
        <v>#REF!</v>
      </c>
      <c r="H61" s="43"/>
      <c r="K61" s="31" t="str">
        <f>"""GP"",""Ute Indian Tribe Membership Fund"",""aaa_contract_detail_sp"",""JRNENTRY"",""1570971"",""aaGLHdrID"",""1739104"",""aaGLDistID"",""19"",""aaGLAssignID"",""1"",""contract"",""3420 FIA 54 UT 2025 5101"""</f>
        <v>"GP","Ute Indian Tribe Membership Fund","aaa_contract_detail_sp","JRNENTRY","1570971","aaGLHdrID","1739104","aaGLDistID","19","aaGLAssignID","1","contract","3420 FIA 54 UT 2025 5101"</v>
      </c>
      <c r="L61" s="44">
        <v>45603</v>
      </c>
      <c r="M61" s="31">
        <v>1570971</v>
      </c>
      <c r="N61" s="31" t="str">
        <f>""</f>
        <v/>
      </c>
      <c r="O61" s="31" t="str">
        <f>""</f>
        <v/>
      </c>
      <c r="P61" s="31" t="str">
        <f>""</f>
        <v/>
      </c>
      <c r="Q61" s="45" t="str">
        <f>""</f>
        <v/>
      </c>
      <c r="R61" s="46">
        <v>186.58</v>
      </c>
      <c r="S61" s="46">
        <v>0</v>
      </c>
      <c r="T61" s="47">
        <f t="shared" ref="T61:T83" si="3">SUM(R61:S61)</f>
        <v>186.58</v>
      </c>
    </row>
    <row r="62" spans="1:20" s="31" customFormat="1" x14ac:dyDescent="0.25">
      <c r="A62" s="25" t="s">
        <v>25</v>
      </c>
      <c r="B62" s="42"/>
      <c r="C62" s="42"/>
      <c r="D62" s="25"/>
      <c r="E62" s="25"/>
      <c r="F62" s="42" t="e">
        <f t="shared" ref="F62:G83" si="4">F61</f>
        <v>#REF!</v>
      </c>
      <c r="G62" s="42" t="e">
        <f t="shared" si="4"/>
        <v>#REF!</v>
      </c>
      <c r="H62" s="43"/>
      <c r="K62" s="31" t="str">
        <f>"""GP"",""Ute Indian Tribe Membership Fund"",""aaa_contract_detail_sp"",""JRNENTRY"",""1570971"",""aaGLHdrID"",""1739104"",""aaGLDistID"",""20"",""aaGLAssignID"",""1"",""contract"",""3420 FIA 54 UT 2025 5101"""</f>
        <v>"GP","Ute Indian Tribe Membership Fund","aaa_contract_detail_sp","JRNENTRY","1570971","aaGLHdrID","1739104","aaGLDistID","20","aaGLAssignID","1","contract","3420 FIA 54 UT 2025 5101"</v>
      </c>
      <c r="L62" s="44">
        <v>45603</v>
      </c>
      <c r="M62" s="31">
        <v>1570971</v>
      </c>
      <c r="N62" s="31" t="str">
        <f>""</f>
        <v/>
      </c>
      <c r="O62" s="31" t="str">
        <f>""</f>
        <v/>
      </c>
      <c r="P62" s="31" t="str">
        <f>""</f>
        <v/>
      </c>
      <c r="Q62" s="45" t="str">
        <f>""</f>
        <v/>
      </c>
      <c r="R62" s="46">
        <v>43.63</v>
      </c>
      <c r="S62" s="46">
        <v>0</v>
      </c>
      <c r="T62" s="47">
        <f t="shared" si="3"/>
        <v>43.63</v>
      </c>
    </row>
    <row r="63" spans="1:20" s="31" customFormat="1" x14ac:dyDescent="0.25">
      <c r="A63" s="25" t="s">
        <v>25</v>
      </c>
      <c r="B63" s="42"/>
      <c r="C63" s="42"/>
      <c r="D63" s="25"/>
      <c r="E63" s="25"/>
      <c r="F63" s="42" t="e">
        <f t="shared" si="4"/>
        <v>#REF!</v>
      </c>
      <c r="G63" s="42" t="e">
        <f t="shared" si="4"/>
        <v>#REF!</v>
      </c>
      <c r="H63" s="43"/>
      <c r="K63" s="31" t="str">
        <f>"""GP"",""Ute Indian Tribe Membership Fund"",""aaa_contract_detail_sp"",""JRNENTRY"",""1571082"",""aaGLHdrID"",""1739215"",""aaGLDistID"",""17"",""aaGLAssignID"",""1"",""contract"",""3420 FIA 54 UT 2025 5101"""</f>
        <v>"GP","Ute Indian Tribe Membership Fund","aaa_contract_detail_sp","JRNENTRY","1571082","aaGLHdrID","1739215","aaGLDistID","17","aaGLAssignID","1","contract","3420 FIA 54 UT 2025 5101"</v>
      </c>
      <c r="L63" s="44">
        <v>45603</v>
      </c>
      <c r="M63" s="31">
        <v>1571082</v>
      </c>
      <c r="N63" s="31" t="str">
        <f>""</f>
        <v/>
      </c>
      <c r="O63" s="31" t="str">
        <f>""</f>
        <v/>
      </c>
      <c r="P63" s="31" t="str">
        <f>""</f>
        <v/>
      </c>
      <c r="Q63" s="45" t="str">
        <f>""</f>
        <v/>
      </c>
      <c r="R63" s="46">
        <v>144.07</v>
      </c>
      <c r="S63" s="46">
        <v>0</v>
      </c>
      <c r="T63" s="47">
        <f t="shared" si="3"/>
        <v>144.07</v>
      </c>
    </row>
    <row r="64" spans="1:20" s="31" customFormat="1" x14ac:dyDescent="0.25">
      <c r="A64" s="25" t="s">
        <v>25</v>
      </c>
      <c r="B64" s="42"/>
      <c r="C64" s="42"/>
      <c r="D64" s="25"/>
      <c r="E64" s="25"/>
      <c r="F64" s="42" t="e">
        <f t="shared" si="4"/>
        <v>#REF!</v>
      </c>
      <c r="G64" s="42" t="e">
        <f t="shared" si="4"/>
        <v>#REF!</v>
      </c>
      <c r="H64" s="43"/>
      <c r="K64" s="31" t="str">
        <f>"""GP"",""Ute Indian Tribe Membership Fund"",""aaa_contract_detail_sp"",""JRNENTRY"",""1571082"",""aaGLHdrID"",""1739215"",""aaGLDistID"",""18"",""aaGLAssignID"",""1"",""contract"",""3420 FIA 54 UT 2025 5101"""</f>
        <v>"GP","Ute Indian Tribe Membership Fund","aaa_contract_detail_sp","JRNENTRY","1571082","aaGLHdrID","1739215","aaGLDistID","18","aaGLAssignID","1","contract","3420 FIA 54 UT 2025 5101"</v>
      </c>
      <c r="L64" s="44">
        <v>45603</v>
      </c>
      <c r="M64" s="31">
        <v>1571082</v>
      </c>
      <c r="N64" s="31" t="str">
        <f>""</f>
        <v/>
      </c>
      <c r="O64" s="31" t="str">
        <f>""</f>
        <v/>
      </c>
      <c r="P64" s="31" t="str">
        <f>""</f>
        <v/>
      </c>
      <c r="Q64" s="45" t="str">
        <f>""</f>
        <v/>
      </c>
      <c r="R64" s="46">
        <v>33.69</v>
      </c>
      <c r="S64" s="46">
        <v>0</v>
      </c>
      <c r="T64" s="47">
        <f t="shared" si="3"/>
        <v>33.69</v>
      </c>
    </row>
    <row r="65" spans="1:20" s="31" customFormat="1" x14ac:dyDescent="0.25">
      <c r="A65" s="25" t="s">
        <v>25</v>
      </c>
      <c r="B65" s="42"/>
      <c r="C65" s="42"/>
      <c r="D65" s="25"/>
      <c r="E65" s="25"/>
      <c r="F65" s="42" t="e">
        <f t="shared" si="4"/>
        <v>#REF!</v>
      </c>
      <c r="G65" s="42" t="e">
        <f t="shared" si="4"/>
        <v>#REF!</v>
      </c>
      <c r="H65" s="43"/>
      <c r="K65" s="31" t="str">
        <f>"""GP"",""Ute Indian Tribe Membership Fund"",""aaa_contract_detail_sp"",""JRNENTRY"",""1571096"",""aaGLHdrID"",""1739229"",""aaGLDistID"",""16"",""aaGLAssignID"",""1"",""contract"",""3420 FIA 54 UT 2025 5101"""</f>
        <v>"GP","Ute Indian Tribe Membership Fund","aaa_contract_detail_sp","JRNENTRY","1571096","aaGLHdrID","1739229","aaGLDistID","16","aaGLAssignID","1","contract","3420 FIA 54 UT 2025 5101"</v>
      </c>
      <c r="L65" s="44">
        <v>45603</v>
      </c>
      <c r="M65" s="31">
        <v>1571096</v>
      </c>
      <c r="N65" s="31" t="str">
        <f>""</f>
        <v/>
      </c>
      <c r="O65" s="31" t="str">
        <f>""</f>
        <v/>
      </c>
      <c r="P65" s="31" t="str">
        <f>""</f>
        <v/>
      </c>
      <c r="Q65" s="45" t="str">
        <f>""</f>
        <v/>
      </c>
      <c r="R65" s="46">
        <v>161.06</v>
      </c>
      <c r="S65" s="46">
        <v>0</v>
      </c>
      <c r="T65" s="47">
        <f t="shared" si="3"/>
        <v>161.06</v>
      </c>
    </row>
    <row r="66" spans="1:20" s="31" customFormat="1" x14ac:dyDescent="0.25">
      <c r="A66" s="25" t="s">
        <v>25</v>
      </c>
      <c r="B66" s="42"/>
      <c r="C66" s="42"/>
      <c r="D66" s="25"/>
      <c r="E66" s="25"/>
      <c r="F66" s="42" t="e">
        <f t="shared" si="4"/>
        <v>#REF!</v>
      </c>
      <c r="G66" s="42" t="e">
        <f t="shared" si="4"/>
        <v>#REF!</v>
      </c>
      <c r="H66" s="43"/>
      <c r="K66" s="31" t="str">
        <f>"""GP"",""Ute Indian Tribe Membership Fund"",""aaa_contract_detail_sp"",""JRNENTRY"",""1571096"",""aaGLHdrID"",""1739229"",""aaGLDistID"",""17"",""aaGLAssignID"",""1"",""contract"",""3420 FIA 54 UT 2025 5101"""</f>
        <v>"GP","Ute Indian Tribe Membership Fund","aaa_contract_detail_sp","JRNENTRY","1571096","aaGLHdrID","1739229","aaGLDistID","17","aaGLAssignID","1","contract","3420 FIA 54 UT 2025 5101"</v>
      </c>
      <c r="L66" s="44">
        <v>45603</v>
      </c>
      <c r="M66" s="31">
        <v>1571096</v>
      </c>
      <c r="N66" s="31" t="str">
        <f>""</f>
        <v/>
      </c>
      <c r="O66" s="31" t="str">
        <f>""</f>
        <v/>
      </c>
      <c r="P66" s="31" t="str">
        <f>""</f>
        <v/>
      </c>
      <c r="Q66" s="45" t="str">
        <f>""</f>
        <v/>
      </c>
      <c r="R66" s="46">
        <v>37.659999999999997</v>
      </c>
      <c r="S66" s="46">
        <v>0</v>
      </c>
      <c r="T66" s="47">
        <f t="shared" si="3"/>
        <v>37.659999999999997</v>
      </c>
    </row>
    <row r="67" spans="1:20" s="31" customFormat="1" x14ac:dyDescent="0.25">
      <c r="A67" s="25" t="s">
        <v>25</v>
      </c>
      <c r="B67" s="42"/>
      <c r="C67" s="42"/>
      <c r="D67" s="25"/>
      <c r="E67" s="25"/>
      <c r="F67" s="42" t="e">
        <f t="shared" si="4"/>
        <v>#REF!</v>
      </c>
      <c r="G67" s="42" t="e">
        <f t="shared" si="4"/>
        <v>#REF!</v>
      </c>
      <c r="H67" s="43"/>
      <c r="K67" s="31" t="str">
        <f>"""GP"",""Ute Indian Tribe Membership Fund"",""aaa_contract_detail_sp"",""JRNENTRY"",""1571141"",""aaGLHdrID"",""1739274"",""aaGLDistID"",""15"",""aaGLAssignID"",""1"",""contract"",""3420 FIA 54 UT 2025 5101"""</f>
        <v>"GP","Ute Indian Tribe Membership Fund","aaa_contract_detail_sp","JRNENTRY","1571141","aaGLHdrID","1739274","aaGLDistID","15","aaGLAssignID","1","contract","3420 FIA 54 UT 2025 5101"</v>
      </c>
      <c r="L67" s="44">
        <v>45603</v>
      </c>
      <c r="M67" s="31">
        <v>1571141</v>
      </c>
      <c r="N67" s="31" t="str">
        <f>""</f>
        <v/>
      </c>
      <c r="O67" s="31" t="str">
        <f>""</f>
        <v/>
      </c>
      <c r="P67" s="31" t="str">
        <f>""</f>
        <v/>
      </c>
      <c r="Q67" s="45" t="str">
        <f>""</f>
        <v/>
      </c>
      <c r="R67" s="46">
        <v>184.8</v>
      </c>
      <c r="S67" s="46">
        <v>0</v>
      </c>
      <c r="T67" s="47">
        <f t="shared" si="3"/>
        <v>184.8</v>
      </c>
    </row>
    <row r="68" spans="1:20" s="31" customFormat="1" x14ac:dyDescent="0.25">
      <c r="A68" s="25" t="s">
        <v>25</v>
      </c>
      <c r="B68" s="42"/>
      <c r="C68" s="42"/>
      <c r="D68" s="25"/>
      <c r="E68" s="25"/>
      <c r="F68" s="42" t="e">
        <f t="shared" si="4"/>
        <v>#REF!</v>
      </c>
      <c r="G68" s="42" t="e">
        <f t="shared" si="4"/>
        <v>#REF!</v>
      </c>
      <c r="H68" s="43"/>
      <c r="K68" s="31" t="str">
        <f>"""GP"",""Ute Indian Tribe Membership Fund"",""aaa_contract_detail_sp"",""JRNENTRY"",""1571141"",""aaGLHdrID"",""1739274"",""aaGLDistID"",""16"",""aaGLAssignID"",""1"",""contract"",""3420 FIA 54 UT 2025 5101"""</f>
        <v>"GP","Ute Indian Tribe Membership Fund","aaa_contract_detail_sp","JRNENTRY","1571141","aaGLHdrID","1739274","aaGLDistID","16","aaGLAssignID","1","contract","3420 FIA 54 UT 2025 5101"</v>
      </c>
      <c r="L68" s="44">
        <v>45603</v>
      </c>
      <c r="M68" s="31">
        <v>1571141</v>
      </c>
      <c r="N68" s="31" t="str">
        <f>""</f>
        <v/>
      </c>
      <c r="O68" s="31" t="str">
        <f>""</f>
        <v/>
      </c>
      <c r="P68" s="31" t="str">
        <f>""</f>
        <v/>
      </c>
      <c r="Q68" s="45" t="str">
        <f>""</f>
        <v/>
      </c>
      <c r="R68" s="46">
        <v>43.21</v>
      </c>
      <c r="S68" s="46">
        <v>0</v>
      </c>
      <c r="T68" s="47">
        <f t="shared" si="3"/>
        <v>43.21</v>
      </c>
    </row>
    <row r="69" spans="1:20" s="31" customFormat="1" x14ac:dyDescent="0.25">
      <c r="A69" s="25" t="s">
        <v>25</v>
      </c>
      <c r="B69" s="42"/>
      <c r="C69" s="42"/>
      <c r="D69" s="25"/>
      <c r="E69" s="25"/>
      <c r="F69" s="42" t="e">
        <f t="shared" si="4"/>
        <v>#REF!</v>
      </c>
      <c r="G69" s="42" t="e">
        <f t="shared" si="4"/>
        <v>#REF!</v>
      </c>
      <c r="H69" s="43"/>
      <c r="K69" s="31" t="str">
        <f>"""GP"",""Ute Indian Tribe Membership Fund"",""aaa_contract_detail_sp"",""JRNENTRY"",""1577961"",""aaGLHdrID"",""1745824"",""aaGLDistID"",""27"",""aaGLAssignID"",""1"",""contract"",""3420 FIA 54 UT 2025 5101"""</f>
        <v>"GP","Ute Indian Tribe Membership Fund","aaa_contract_detail_sp","JRNENTRY","1577961","aaGLHdrID","1745824","aaGLDistID","27","aaGLAssignID","1","contract","3420 FIA 54 UT 2025 5101"</v>
      </c>
      <c r="L69" s="44">
        <v>45603</v>
      </c>
      <c r="M69" s="31">
        <v>1577961</v>
      </c>
      <c r="N69" s="31" t="str">
        <f>""</f>
        <v/>
      </c>
      <c r="O69" s="31" t="str">
        <f>""</f>
        <v/>
      </c>
      <c r="P69" s="31" t="str">
        <f>""</f>
        <v/>
      </c>
      <c r="Q69" s="45" t="str">
        <f>""</f>
        <v/>
      </c>
      <c r="R69" s="46">
        <v>36.74</v>
      </c>
      <c r="S69" s="46">
        <v>0</v>
      </c>
      <c r="T69" s="47">
        <f t="shared" si="3"/>
        <v>36.74</v>
      </c>
    </row>
    <row r="70" spans="1:20" s="31" customFormat="1" x14ac:dyDescent="0.25">
      <c r="A70" s="25" t="s">
        <v>25</v>
      </c>
      <c r="B70" s="42"/>
      <c r="C70" s="42"/>
      <c r="D70" s="25"/>
      <c r="E70" s="25"/>
      <c r="F70" s="42" t="e">
        <f t="shared" si="4"/>
        <v>#REF!</v>
      </c>
      <c r="G70" s="42" t="e">
        <f t="shared" si="4"/>
        <v>#REF!</v>
      </c>
      <c r="H70" s="43"/>
      <c r="K70" s="31" t="str">
        <f>"""GP"",""Ute Indian Tribe Membership Fund"",""aaa_contract_detail_sp"",""JRNENTRY"",""1577961"",""aaGLHdrID"",""1745824"",""aaGLDistID"",""530"",""aaGLAssignID"",""1"",""contract"",""3420 FIA 54 UT 2025 5101"""</f>
        <v>"GP","Ute Indian Tribe Membership Fund","aaa_contract_detail_sp","JRNENTRY","1577961","aaGLHdrID","1745824","aaGLDistID","530","aaGLAssignID","1","contract","3420 FIA 54 UT 2025 5101"</v>
      </c>
      <c r="L70" s="44">
        <v>45603</v>
      </c>
      <c r="M70" s="31">
        <v>1577961</v>
      </c>
      <c r="N70" s="31" t="str">
        <f>""</f>
        <v/>
      </c>
      <c r="O70" s="31" t="str">
        <f>""</f>
        <v/>
      </c>
      <c r="P70" s="31" t="str">
        <f>""</f>
        <v/>
      </c>
      <c r="Q70" s="45" t="str">
        <f>""</f>
        <v/>
      </c>
      <c r="R70" s="46">
        <v>30.94</v>
      </c>
      <c r="S70" s="46">
        <v>0</v>
      </c>
      <c r="T70" s="47">
        <f t="shared" si="3"/>
        <v>30.94</v>
      </c>
    </row>
    <row r="71" spans="1:20" s="31" customFormat="1" x14ac:dyDescent="0.25">
      <c r="A71" s="25" t="s">
        <v>25</v>
      </c>
      <c r="B71" s="42"/>
      <c r="C71" s="42"/>
      <c r="D71" s="25"/>
      <c r="E71" s="25"/>
      <c r="F71" s="42" t="e">
        <f t="shared" si="4"/>
        <v>#REF!</v>
      </c>
      <c r="G71" s="42" t="e">
        <f t="shared" si="4"/>
        <v>#REF!</v>
      </c>
      <c r="H71" s="43"/>
      <c r="K71" s="31" t="str">
        <f>"""GP"",""Ute Indian Tribe Membership Fund"",""aaa_contract_detail_sp"",""JRNENTRY"",""1577961"",""aaGLHdrID"",""1745824"",""aaGLDistID"",""531"",""aaGLAssignID"",""1"",""contract"",""3420 FIA 54 UT 2025 5101"""</f>
        <v>"GP","Ute Indian Tribe Membership Fund","aaa_contract_detail_sp","JRNENTRY","1577961","aaGLHdrID","1745824","aaGLDistID","531","aaGLAssignID","1","contract","3420 FIA 54 UT 2025 5101"</v>
      </c>
      <c r="L71" s="44">
        <v>45603</v>
      </c>
      <c r="M71" s="31">
        <v>1577961</v>
      </c>
      <c r="N71" s="31" t="str">
        <f>""</f>
        <v/>
      </c>
      <c r="O71" s="31" t="str">
        <f>""</f>
        <v/>
      </c>
      <c r="P71" s="31" t="str">
        <f>""</f>
        <v/>
      </c>
      <c r="Q71" s="45" t="str">
        <f>""</f>
        <v/>
      </c>
      <c r="R71" s="46">
        <v>24.42</v>
      </c>
      <c r="S71" s="46">
        <v>0</v>
      </c>
      <c r="T71" s="47">
        <f t="shared" si="3"/>
        <v>24.42</v>
      </c>
    </row>
    <row r="72" spans="1:20" s="31" customFormat="1" x14ac:dyDescent="0.25">
      <c r="A72" s="25" t="s">
        <v>25</v>
      </c>
      <c r="B72" s="42"/>
      <c r="C72" s="42"/>
      <c r="D72" s="25"/>
      <c r="E72" s="25"/>
      <c r="F72" s="42" t="e">
        <f t="shared" si="4"/>
        <v>#REF!</v>
      </c>
      <c r="G72" s="42" t="e">
        <f t="shared" si="4"/>
        <v>#REF!</v>
      </c>
      <c r="H72" s="43"/>
      <c r="K72" s="31" t="str">
        <f>"""GP"",""Ute Indian Tribe Membership Fund"",""aaa_contract_detail_sp"",""JRNENTRY"",""1577961"",""aaGLHdrID"",""1745824"",""aaGLDistID"",""532"",""aaGLAssignID"",""1"",""contract"",""3420 FIA 54 UT 2025 5101"""</f>
        <v>"GP","Ute Indian Tribe Membership Fund","aaa_contract_detail_sp","JRNENTRY","1577961","aaGLHdrID","1745824","aaGLDistID","532","aaGLAssignID","1","contract","3420 FIA 54 UT 2025 5101"</v>
      </c>
      <c r="L72" s="44">
        <v>45603</v>
      </c>
      <c r="M72" s="31">
        <v>1577961</v>
      </c>
      <c r="N72" s="31" t="str">
        <f>""</f>
        <v/>
      </c>
      <c r="O72" s="31" t="str">
        <f>""</f>
        <v/>
      </c>
      <c r="P72" s="31" t="str">
        <f>""</f>
        <v/>
      </c>
      <c r="Q72" s="45" t="str">
        <f>""</f>
        <v/>
      </c>
      <c r="R72" s="46">
        <v>27.16</v>
      </c>
      <c r="S72" s="46">
        <v>0</v>
      </c>
      <c r="T72" s="47">
        <f t="shared" si="3"/>
        <v>27.16</v>
      </c>
    </row>
    <row r="73" spans="1:20" s="31" customFormat="1" x14ac:dyDescent="0.25">
      <c r="A73" s="25" t="s">
        <v>25</v>
      </c>
      <c r="B73" s="42"/>
      <c r="C73" s="42"/>
      <c r="D73" s="25"/>
      <c r="E73" s="25"/>
      <c r="F73" s="42" t="e">
        <f t="shared" si="4"/>
        <v>#REF!</v>
      </c>
      <c r="G73" s="42" t="e">
        <f t="shared" si="4"/>
        <v>#REF!</v>
      </c>
      <c r="H73" s="43"/>
      <c r="K73" s="31" t="str">
        <f>"""GP"",""Ute Indian Tribe Membership Fund"",""aaa_contract_detail_sp"",""JRNENTRY"",""1577961"",""aaGLHdrID"",""1745824"",""aaGLDistID"",""533"",""aaGLAssignID"",""1"",""contract"",""3420 FIA 54 UT 2025 5101"""</f>
        <v>"GP","Ute Indian Tribe Membership Fund","aaa_contract_detail_sp","JRNENTRY","1577961","aaGLHdrID","1745824","aaGLDistID","533","aaGLAssignID","1","contract","3420 FIA 54 UT 2025 5101"</v>
      </c>
      <c r="L73" s="44">
        <v>45603</v>
      </c>
      <c r="M73" s="31">
        <v>1577961</v>
      </c>
      <c r="N73" s="31" t="str">
        <f>""</f>
        <v/>
      </c>
      <c r="O73" s="31" t="str">
        <f>""</f>
        <v/>
      </c>
      <c r="P73" s="31" t="str">
        <f>""</f>
        <v/>
      </c>
      <c r="Q73" s="45" t="str">
        <f>""</f>
        <v/>
      </c>
      <c r="R73" s="46">
        <v>30.44</v>
      </c>
      <c r="S73" s="46">
        <v>0</v>
      </c>
      <c r="T73" s="47">
        <f t="shared" si="3"/>
        <v>30.44</v>
      </c>
    </row>
    <row r="74" spans="1:20" s="31" customFormat="1" x14ac:dyDescent="0.25">
      <c r="A74" s="25" t="s">
        <v>25</v>
      </c>
      <c r="B74" s="42"/>
      <c r="C74" s="42"/>
      <c r="D74" s="25"/>
      <c r="E74" s="25"/>
      <c r="F74" s="42" t="e">
        <f t="shared" si="4"/>
        <v>#REF!</v>
      </c>
      <c r="G74" s="42" t="e">
        <f t="shared" si="4"/>
        <v>#REF!</v>
      </c>
      <c r="H74" s="43"/>
      <c r="K74" s="31" t="str">
        <f>"""GP"",""Ute Indian Tribe Membership Fund"",""aaa_contract_detail_sp"",""JRNENTRY"",""1574551"",""aaGLHdrID"",""1742277"",""aaGLDistID"",""18"",""aaGLAssignID"",""1"",""contract"",""3420 FIA 54 UT 2025 5101"""</f>
        <v>"GP","Ute Indian Tribe Membership Fund","aaa_contract_detail_sp","JRNENTRY","1574551","aaGLHdrID","1742277","aaGLDistID","18","aaGLAssignID","1","contract","3420 FIA 54 UT 2025 5101"</v>
      </c>
      <c r="L74" s="44">
        <v>45617</v>
      </c>
      <c r="M74" s="31">
        <v>1574551</v>
      </c>
      <c r="N74" s="31" t="str">
        <f>""</f>
        <v/>
      </c>
      <c r="O74" s="31" t="str">
        <f>""</f>
        <v/>
      </c>
      <c r="P74" s="31" t="str">
        <f>""</f>
        <v/>
      </c>
      <c r="Q74" s="45" t="str">
        <f>""</f>
        <v/>
      </c>
      <c r="R74" s="46">
        <v>166.19</v>
      </c>
      <c r="S74" s="46">
        <v>0</v>
      </c>
      <c r="T74" s="47">
        <f t="shared" si="3"/>
        <v>166.19</v>
      </c>
    </row>
    <row r="75" spans="1:20" s="31" customFormat="1" x14ac:dyDescent="0.25">
      <c r="A75" s="25" t="s">
        <v>25</v>
      </c>
      <c r="B75" s="42"/>
      <c r="C75" s="42"/>
      <c r="D75" s="25"/>
      <c r="E75" s="25"/>
      <c r="F75" s="42" t="e">
        <f t="shared" si="4"/>
        <v>#REF!</v>
      </c>
      <c r="G75" s="42" t="e">
        <f t="shared" si="4"/>
        <v>#REF!</v>
      </c>
      <c r="H75" s="43"/>
      <c r="K75" s="31" t="str">
        <f>"""GP"",""Ute Indian Tribe Membership Fund"",""aaa_contract_detail_sp"",""JRNENTRY"",""1574551"",""aaGLHdrID"",""1742277"",""aaGLDistID"",""19"",""aaGLAssignID"",""1"",""contract"",""3420 FIA 54 UT 2025 5101"""</f>
        <v>"GP","Ute Indian Tribe Membership Fund","aaa_contract_detail_sp","JRNENTRY","1574551","aaGLHdrID","1742277","aaGLDistID","19","aaGLAssignID","1","contract","3420 FIA 54 UT 2025 5101"</v>
      </c>
      <c r="L75" s="44">
        <v>45617</v>
      </c>
      <c r="M75" s="31">
        <v>1574551</v>
      </c>
      <c r="N75" s="31" t="str">
        <f>""</f>
        <v/>
      </c>
      <c r="O75" s="31" t="str">
        <f>""</f>
        <v/>
      </c>
      <c r="P75" s="31" t="str">
        <f>""</f>
        <v/>
      </c>
      <c r="Q75" s="45" t="str">
        <f>""</f>
        <v/>
      </c>
      <c r="R75" s="46">
        <v>38.869999999999997</v>
      </c>
      <c r="S75" s="46">
        <v>0</v>
      </c>
      <c r="T75" s="47">
        <f t="shared" si="3"/>
        <v>38.869999999999997</v>
      </c>
    </row>
    <row r="76" spans="1:20" s="31" customFormat="1" x14ac:dyDescent="0.25">
      <c r="A76" s="25" t="s">
        <v>25</v>
      </c>
      <c r="B76" s="42"/>
      <c r="C76" s="42"/>
      <c r="D76" s="25"/>
      <c r="E76" s="25"/>
      <c r="F76" s="42" t="e">
        <f t="shared" si="4"/>
        <v>#REF!</v>
      </c>
      <c r="G76" s="42" t="e">
        <f t="shared" si="4"/>
        <v>#REF!</v>
      </c>
      <c r="H76" s="43"/>
      <c r="K76" s="31" t="str">
        <f>"""GP"",""Ute Indian Tribe Membership Fund"",""aaa_contract_detail_sp"",""JRNENTRY"",""1574661"",""aaGLHdrID"",""1742387"",""aaGLDistID"",""16"",""aaGLAssignID"",""1"",""contract"",""3420 FIA 54 UT 2025 5101"""</f>
        <v>"GP","Ute Indian Tribe Membership Fund","aaa_contract_detail_sp","JRNENTRY","1574661","aaGLHdrID","1742387","aaGLDistID","16","aaGLAssignID","1","contract","3420 FIA 54 UT 2025 5101"</v>
      </c>
      <c r="L76" s="44">
        <v>45617</v>
      </c>
      <c r="M76" s="31">
        <v>1574661</v>
      </c>
      <c r="N76" s="31" t="str">
        <f>""</f>
        <v/>
      </c>
      <c r="O76" s="31" t="str">
        <f>""</f>
        <v/>
      </c>
      <c r="P76" s="31" t="str">
        <f>""</f>
        <v/>
      </c>
      <c r="Q76" s="45" t="str">
        <f>""</f>
        <v/>
      </c>
      <c r="R76" s="46">
        <v>144.08000000000001</v>
      </c>
      <c r="S76" s="46">
        <v>0</v>
      </c>
      <c r="T76" s="47">
        <f t="shared" si="3"/>
        <v>144.08000000000001</v>
      </c>
    </row>
    <row r="77" spans="1:20" s="31" customFormat="1" x14ac:dyDescent="0.25">
      <c r="A77" s="25" t="s">
        <v>25</v>
      </c>
      <c r="B77" s="42"/>
      <c r="C77" s="42"/>
      <c r="D77" s="25"/>
      <c r="E77" s="25"/>
      <c r="F77" s="42" t="e">
        <f t="shared" si="4"/>
        <v>#REF!</v>
      </c>
      <c r="G77" s="42" t="e">
        <f t="shared" si="4"/>
        <v>#REF!</v>
      </c>
      <c r="H77" s="43"/>
      <c r="K77" s="31" t="str">
        <f>"""GP"",""Ute Indian Tribe Membership Fund"",""aaa_contract_detail_sp"",""JRNENTRY"",""1574661"",""aaGLHdrID"",""1742387"",""aaGLDistID"",""17"",""aaGLAssignID"",""1"",""contract"",""3420 FIA 54 UT 2025 5101"""</f>
        <v>"GP","Ute Indian Tribe Membership Fund","aaa_contract_detail_sp","JRNENTRY","1574661","aaGLHdrID","1742387","aaGLDistID","17","aaGLAssignID","1","contract","3420 FIA 54 UT 2025 5101"</v>
      </c>
      <c r="L77" s="44">
        <v>45617</v>
      </c>
      <c r="M77" s="31">
        <v>1574661</v>
      </c>
      <c r="N77" s="31" t="str">
        <f>""</f>
        <v/>
      </c>
      <c r="O77" s="31" t="str">
        <f>""</f>
        <v/>
      </c>
      <c r="P77" s="31" t="str">
        <f>""</f>
        <v/>
      </c>
      <c r="Q77" s="45" t="str">
        <f>""</f>
        <v/>
      </c>
      <c r="R77" s="46">
        <v>33.700000000000003</v>
      </c>
      <c r="S77" s="46">
        <v>0</v>
      </c>
      <c r="T77" s="47">
        <f t="shared" si="3"/>
        <v>33.700000000000003</v>
      </c>
    </row>
    <row r="78" spans="1:20" s="31" customFormat="1" x14ac:dyDescent="0.25">
      <c r="A78" s="25" t="s">
        <v>25</v>
      </c>
      <c r="B78" s="42"/>
      <c r="C78" s="42"/>
      <c r="D78" s="25"/>
      <c r="E78" s="25"/>
      <c r="F78" s="42" t="e">
        <f t="shared" si="4"/>
        <v>#REF!</v>
      </c>
      <c r="G78" s="42" t="e">
        <f t="shared" si="4"/>
        <v>#REF!</v>
      </c>
      <c r="H78" s="43"/>
      <c r="K78" s="31" t="str">
        <f>"""GP"",""Ute Indian Tribe Membership Fund"",""aaa_contract_detail_sp"",""JRNENTRY"",""1574675"",""aaGLHdrID"",""1742401"",""aaGLDistID"",""16"",""aaGLAssignID"",""1"",""contract"",""3420 FIA 54 UT 2025 5101"""</f>
        <v>"GP","Ute Indian Tribe Membership Fund","aaa_contract_detail_sp","JRNENTRY","1574675","aaGLHdrID","1742401","aaGLDistID","16","aaGLAssignID","1","contract","3420 FIA 54 UT 2025 5101"</v>
      </c>
      <c r="L78" s="44">
        <v>45617</v>
      </c>
      <c r="M78" s="31">
        <v>1574675</v>
      </c>
      <c r="N78" s="31" t="str">
        <f>""</f>
        <v/>
      </c>
      <c r="O78" s="31" t="str">
        <f>""</f>
        <v/>
      </c>
      <c r="P78" s="31" t="str">
        <f>""</f>
        <v/>
      </c>
      <c r="Q78" s="45" t="str">
        <f>""</f>
        <v/>
      </c>
      <c r="R78" s="46">
        <v>161.06</v>
      </c>
      <c r="S78" s="46">
        <v>0</v>
      </c>
      <c r="T78" s="47">
        <f t="shared" si="3"/>
        <v>161.06</v>
      </c>
    </row>
    <row r="79" spans="1:20" s="31" customFormat="1" x14ac:dyDescent="0.25">
      <c r="A79" s="25" t="s">
        <v>25</v>
      </c>
      <c r="B79" s="42"/>
      <c r="C79" s="42"/>
      <c r="D79" s="25"/>
      <c r="E79" s="25"/>
      <c r="F79" s="42" t="e">
        <f t="shared" si="4"/>
        <v>#REF!</v>
      </c>
      <c r="G79" s="42" t="e">
        <f t="shared" si="4"/>
        <v>#REF!</v>
      </c>
      <c r="H79" s="43"/>
      <c r="K79" s="31" t="str">
        <f>"""GP"",""Ute Indian Tribe Membership Fund"",""aaa_contract_detail_sp"",""JRNENTRY"",""1574675"",""aaGLHdrID"",""1742401"",""aaGLDistID"",""17"",""aaGLAssignID"",""1"",""contract"",""3420 FIA 54 UT 2025 5101"""</f>
        <v>"GP","Ute Indian Tribe Membership Fund","aaa_contract_detail_sp","JRNENTRY","1574675","aaGLHdrID","1742401","aaGLDistID","17","aaGLAssignID","1","contract","3420 FIA 54 UT 2025 5101"</v>
      </c>
      <c r="L79" s="44">
        <v>45617</v>
      </c>
      <c r="M79" s="31">
        <v>1574675</v>
      </c>
      <c r="N79" s="31" t="str">
        <f>""</f>
        <v/>
      </c>
      <c r="O79" s="31" t="str">
        <f>""</f>
        <v/>
      </c>
      <c r="P79" s="31" t="str">
        <f>""</f>
        <v/>
      </c>
      <c r="Q79" s="45" t="str">
        <f>""</f>
        <v/>
      </c>
      <c r="R79" s="46">
        <v>37.67</v>
      </c>
      <c r="S79" s="46">
        <v>0</v>
      </c>
      <c r="T79" s="47">
        <f t="shared" si="3"/>
        <v>37.67</v>
      </c>
    </row>
    <row r="80" spans="1:20" s="31" customFormat="1" x14ac:dyDescent="0.25">
      <c r="A80" s="25" t="s">
        <v>25</v>
      </c>
      <c r="B80" s="42"/>
      <c r="C80" s="42"/>
      <c r="D80" s="25"/>
      <c r="E80" s="25"/>
      <c r="F80" s="42" t="e">
        <f t="shared" si="4"/>
        <v>#REF!</v>
      </c>
      <c r="G80" s="42" t="e">
        <f t="shared" si="4"/>
        <v>#REF!</v>
      </c>
      <c r="H80" s="43"/>
      <c r="K80" s="31" t="str">
        <f>"""GP"",""Ute Indian Tribe Membership Fund"",""aaa_contract_detail_sp"",""JRNENTRY"",""1574720"",""aaGLHdrID"",""1742446"",""aaGLDistID"",""15"",""aaGLAssignID"",""1"",""contract"",""3420 FIA 54 UT 2025 5101"""</f>
        <v>"GP","Ute Indian Tribe Membership Fund","aaa_contract_detail_sp","JRNENTRY","1574720","aaGLHdrID","1742446","aaGLDistID","15","aaGLAssignID","1","contract","3420 FIA 54 UT 2025 5101"</v>
      </c>
      <c r="L80" s="44">
        <v>45617</v>
      </c>
      <c r="M80" s="31">
        <v>1574720</v>
      </c>
      <c r="N80" s="31" t="str">
        <f>""</f>
        <v/>
      </c>
      <c r="O80" s="31" t="str">
        <f>""</f>
        <v/>
      </c>
      <c r="P80" s="31" t="str">
        <f>""</f>
        <v/>
      </c>
      <c r="Q80" s="45" t="str">
        <f>""</f>
        <v/>
      </c>
      <c r="R80" s="46">
        <v>184.79</v>
      </c>
      <c r="S80" s="46">
        <v>0</v>
      </c>
      <c r="T80" s="47">
        <f t="shared" si="3"/>
        <v>184.79</v>
      </c>
    </row>
    <row r="81" spans="1:20" s="31" customFormat="1" x14ac:dyDescent="0.25">
      <c r="A81" s="25" t="s">
        <v>25</v>
      </c>
      <c r="B81" s="42"/>
      <c r="C81" s="42"/>
      <c r="D81" s="25"/>
      <c r="E81" s="25"/>
      <c r="F81" s="42" t="e">
        <f t="shared" si="4"/>
        <v>#REF!</v>
      </c>
      <c r="G81" s="42" t="e">
        <f t="shared" si="4"/>
        <v>#REF!</v>
      </c>
      <c r="H81" s="43"/>
      <c r="K81" s="31" t="str">
        <f>"""GP"",""Ute Indian Tribe Membership Fund"",""aaa_contract_detail_sp"",""JRNENTRY"",""1574720"",""aaGLHdrID"",""1742446"",""aaGLDistID"",""16"",""aaGLAssignID"",""1"",""contract"",""3420 FIA 54 UT 2025 5101"""</f>
        <v>"GP","Ute Indian Tribe Membership Fund","aaa_contract_detail_sp","JRNENTRY","1574720","aaGLHdrID","1742446","aaGLDistID","16","aaGLAssignID","1","contract","3420 FIA 54 UT 2025 5101"</v>
      </c>
      <c r="L81" s="44">
        <v>45617</v>
      </c>
      <c r="M81" s="31">
        <v>1574720</v>
      </c>
      <c r="N81" s="31" t="str">
        <f>""</f>
        <v/>
      </c>
      <c r="O81" s="31" t="str">
        <f>""</f>
        <v/>
      </c>
      <c r="P81" s="31" t="str">
        <f>""</f>
        <v/>
      </c>
      <c r="Q81" s="45" t="str">
        <f>""</f>
        <v/>
      </c>
      <c r="R81" s="46">
        <v>43.22</v>
      </c>
      <c r="S81" s="46">
        <v>0</v>
      </c>
      <c r="T81" s="47">
        <f t="shared" si="3"/>
        <v>43.22</v>
      </c>
    </row>
    <row r="82" spans="1:20" s="31" customFormat="1" x14ac:dyDescent="0.25">
      <c r="A82" s="25" t="s">
        <v>25</v>
      </c>
      <c r="B82" s="42"/>
      <c r="C82" s="42"/>
      <c r="D82" s="25"/>
      <c r="E82" s="25"/>
      <c r="F82" s="42" t="e">
        <f t="shared" si="4"/>
        <v>#REF!</v>
      </c>
      <c r="G82" s="42" t="e">
        <f t="shared" si="4"/>
        <v>#REF!</v>
      </c>
      <c r="H82" s="43"/>
      <c r="K82" s="31" t="str">
        <f>"""GP"",""Ute Indian Tribe Membership Fund"",""aaa_contract_detail_sp"",""JRNENTRY"",""1577962"",""aaGLHdrID"",""1746302"",""aaGLDistID"",""27"",""aaGLAssignID"",""1"",""contract"",""3420 FIA 54 UT 2025 5101"""</f>
        <v>"GP","Ute Indian Tribe Membership Fund","aaa_contract_detail_sp","JRNENTRY","1577962","aaGLHdrID","1746302","aaGLDistID","27","aaGLAssignID","1","contract","3420 FIA 54 UT 2025 5101"</v>
      </c>
      <c r="L82" s="44">
        <v>45617</v>
      </c>
      <c r="M82" s="31">
        <v>1577962</v>
      </c>
      <c r="N82" s="31" t="str">
        <f>""</f>
        <v/>
      </c>
      <c r="O82" s="31" t="str">
        <f>""</f>
        <v/>
      </c>
      <c r="P82" s="31" t="str">
        <f>""</f>
        <v/>
      </c>
      <c r="Q82" s="45" t="str">
        <f>""</f>
        <v/>
      </c>
      <c r="R82" s="46">
        <v>36.74</v>
      </c>
      <c r="S82" s="46">
        <v>0</v>
      </c>
      <c r="T82" s="47">
        <f t="shared" si="3"/>
        <v>36.74</v>
      </c>
    </row>
    <row r="83" spans="1:20" s="31" customFormat="1" x14ac:dyDescent="0.25">
      <c r="A83" s="25" t="s">
        <v>25</v>
      </c>
      <c r="B83" s="42"/>
      <c r="C83" s="42"/>
      <c r="D83" s="25"/>
      <c r="E83" s="25"/>
      <c r="F83" s="42" t="e">
        <f t="shared" si="4"/>
        <v>#REF!</v>
      </c>
      <c r="G83" s="42" t="e">
        <f t="shared" si="4"/>
        <v>#REF!</v>
      </c>
      <c r="H83" s="43"/>
      <c r="K83" s="31" t="str">
        <f>"""GP"",""Ute Indian Tribe Membership Fund"",""aaa_contract_detail_sp"",""JRNENTRY"",""1577962"",""aaGLHdrID"",""1746302"",""aaGLDistID"",""527"",""aaGLAssignID"",""1"",""contract"",""3420 FIA 54 UT 2025 5101"""</f>
        <v>"GP","Ute Indian Tribe Membership Fund","aaa_contract_detail_sp","JRNENTRY","1577962","aaGLHdrID","1746302","aaGLDistID","527","aaGLAssignID","1","contract","3420 FIA 54 UT 2025 5101"</v>
      </c>
      <c r="L83" s="44">
        <v>45617</v>
      </c>
      <c r="M83" s="31">
        <v>1577962</v>
      </c>
      <c r="N83" s="31" t="str">
        <f>""</f>
        <v/>
      </c>
      <c r="O83" s="31" t="str">
        <f>""</f>
        <v/>
      </c>
      <c r="P83" s="31" t="str">
        <f>""</f>
        <v/>
      </c>
      <c r="Q83" s="45" t="str">
        <f>""</f>
        <v/>
      </c>
      <c r="R83" s="46">
        <v>30.94</v>
      </c>
      <c r="S83" s="46">
        <v>0</v>
      </c>
      <c r="T83" s="47">
        <f t="shared" si="3"/>
        <v>30.94</v>
      </c>
    </row>
    <row r="84" spans="1:20" s="31" customFormat="1" x14ac:dyDescent="0.25">
      <c r="A84" s="25" t="s">
        <v>25</v>
      </c>
      <c r="B84" s="42"/>
      <c r="C84" s="42"/>
      <c r="D84" s="25"/>
      <c r="E84" s="25"/>
      <c r="F84" s="42" t="e">
        <f t="shared" ref="F84:G115" si="5">F83</f>
        <v>#REF!</v>
      </c>
      <c r="G84" s="42" t="e">
        <f t="shared" si="5"/>
        <v>#REF!</v>
      </c>
      <c r="H84" s="43"/>
      <c r="K84" s="31" t="str">
        <f>"""GP"",""Ute Indian Tribe Membership Fund"",""aaa_contract_detail_sp"",""JRNENTRY"",""1577962"",""aaGLHdrID"",""1746302"",""aaGLDistID"",""528"",""aaGLAssignID"",""1"",""contract"",""3420 FIA 54 UT 2025 5101"""</f>
        <v>"GP","Ute Indian Tribe Membership Fund","aaa_contract_detail_sp","JRNENTRY","1577962","aaGLHdrID","1746302","aaGLDistID","528","aaGLAssignID","1","contract","3420 FIA 54 UT 2025 5101"</v>
      </c>
      <c r="L84" s="44">
        <v>45617</v>
      </c>
      <c r="M84" s="31">
        <v>1577962</v>
      </c>
      <c r="N84" s="31" t="str">
        <f>""</f>
        <v/>
      </c>
      <c r="O84" s="31" t="str">
        <f>""</f>
        <v/>
      </c>
      <c r="P84" s="31" t="str">
        <f>""</f>
        <v/>
      </c>
      <c r="Q84" s="45" t="str">
        <f>""</f>
        <v/>
      </c>
      <c r="R84" s="46">
        <v>24.42</v>
      </c>
      <c r="S84" s="46">
        <v>0</v>
      </c>
      <c r="T84" s="47">
        <f t="shared" ref="T84:T125" si="6">SUM(R84:S84)</f>
        <v>24.42</v>
      </c>
    </row>
    <row r="85" spans="1:20" s="31" customFormat="1" x14ac:dyDescent="0.25">
      <c r="A85" s="25" t="s">
        <v>25</v>
      </c>
      <c r="B85" s="42"/>
      <c r="C85" s="42"/>
      <c r="D85" s="25"/>
      <c r="E85" s="25"/>
      <c r="F85" s="42" t="e">
        <f t="shared" si="5"/>
        <v>#REF!</v>
      </c>
      <c r="G85" s="42" t="e">
        <f t="shared" si="5"/>
        <v>#REF!</v>
      </c>
      <c r="H85" s="43"/>
      <c r="K85" s="31" t="str">
        <f>"""GP"",""Ute Indian Tribe Membership Fund"",""aaa_contract_detail_sp"",""JRNENTRY"",""1577962"",""aaGLHdrID"",""1746302"",""aaGLDistID"",""529"",""aaGLAssignID"",""1"",""contract"",""3420 FIA 54 UT 2025 5101"""</f>
        <v>"GP","Ute Indian Tribe Membership Fund","aaa_contract_detail_sp","JRNENTRY","1577962","aaGLHdrID","1746302","aaGLDistID","529","aaGLAssignID","1","contract","3420 FIA 54 UT 2025 5101"</v>
      </c>
      <c r="L85" s="44">
        <v>45617</v>
      </c>
      <c r="M85" s="31">
        <v>1577962</v>
      </c>
      <c r="N85" s="31" t="str">
        <f>""</f>
        <v/>
      </c>
      <c r="O85" s="31" t="str">
        <f>""</f>
        <v/>
      </c>
      <c r="P85" s="31" t="str">
        <f>""</f>
        <v/>
      </c>
      <c r="Q85" s="45" t="str">
        <f>""</f>
        <v/>
      </c>
      <c r="R85" s="46">
        <v>27.16</v>
      </c>
      <c r="S85" s="46">
        <v>0</v>
      </c>
      <c r="T85" s="47">
        <f t="shared" si="6"/>
        <v>27.16</v>
      </c>
    </row>
    <row r="86" spans="1:20" s="31" customFormat="1" x14ac:dyDescent="0.25">
      <c r="A86" s="25" t="s">
        <v>25</v>
      </c>
      <c r="B86" s="42"/>
      <c r="C86" s="42"/>
      <c r="D86" s="25"/>
      <c r="E86" s="25"/>
      <c r="F86" s="42" t="e">
        <f t="shared" si="5"/>
        <v>#REF!</v>
      </c>
      <c r="G86" s="42" t="e">
        <f t="shared" si="5"/>
        <v>#REF!</v>
      </c>
      <c r="H86" s="43"/>
      <c r="K86" s="31" t="str">
        <f>"""GP"",""Ute Indian Tribe Membership Fund"",""aaa_contract_detail_sp"",""JRNENTRY"",""1577962"",""aaGLHdrID"",""1746302"",""aaGLDistID"",""530"",""aaGLAssignID"",""1"",""contract"",""3420 FIA 54 UT 2025 5101"""</f>
        <v>"GP","Ute Indian Tribe Membership Fund","aaa_contract_detail_sp","JRNENTRY","1577962","aaGLHdrID","1746302","aaGLDistID","530","aaGLAssignID","1","contract","3420 FIA 54 UT 2025 5101"</v>
      </c>
      <c r="L86" s="44">
        <v>45617</v>
      </c>
      <c r="M86" s="31">
        <v>1577962</v>
      </c>
      <c r="N86" s="31" t="str">
        <f>""</f>
        <v/>
      </c>
      <c r="O86" s="31" t="str">
        <f>""</f>
        <v/>
      </c>
      <c r="P86" s="31" t="str">
        <f>""</f>
        <v/>
      </c>
      <c r="Q86" s="45" t="str">
        <f>""</f>
        <v/>
      </c>
      <c r="R86" s="46">
        <v>27.16</v>
      </c>
      <c r="S86" s="46">
        <v>0</v>
      </c>
      <c r="T86" s="47">
        <f t="shared" si="6"/>
        <v>27.16</v>
      </c>
    </row>
    <row r="87" spans="1:20" s="31" customFormat="1" x14ac:dyDescent="0.25">
      <c r="A87" s="25" t="s">
        <v>25</v>
      </c>
      <c r="B87" s="42"/>
      <c r="C87" s="42"/>
      <c r="D87" s="25"/>
      <c r="E87" s="25"/>
      <c r="F87" s="42" t="e">
        <f t="shared" si="5"/>
        <v>#REF!</v>
      </c>
      <c r="G87" s="42" t="e">
        <f t="shared" si="5"/>
        <v>#REF!</v>
      </c>
      <c r="H87" s="43"/>
      <c r="K87" s="31" t="str">
        <f>"""GP"",""Ute Indian Tribe Membership Fund"",""aaa_contract_detail_sp"",""JRNENTRY"",""1576499"",""aaGLHdrID"",""1744459"",""aaGLDistID"",""20"",""aaGLAssignID"",""1"",""contract"",""3420 FIA 54 UT 2025 5101"""</f>
        <v>"GP","Ute Indian Tribe Membership Fund","aaa_contract_detail_sp","JRNENTRY","1576499","aaGLHdrID","1744459","aaGLDistID","20","aaGLAssignID","1","contract","3420 FIA 54 UT 2025 5101"</v>
      </c>
      <c r="L87" s="44">
        <v>45631</v>
      </c>
      <c r="M87" s="31">
        <v>1576499</v>
      </c>
      <c r="N87" s="31" t="str">
        <f>""</f>
        <v/>
      </c>
      <c r="O87" s="31" t="str">
        <f>""</f>
        <v/>
      </c>
      <c r="P87" s="31" t="str">
        <f>""</f>
        <v/>
      </c>
      <c r="Q87" s="45" t="str">
        <f>""</f>
        <v/>
      </c>
      <c r="R87" s="46">
        <v>228.19</v>
      </c>
      <c r="S87" s="46">
        <v>0</v>
      </c>
      <c r="T87" s="47">
        <f t="shared" si="6"/>
        <v>228.19</v>
      </c>
    </row>
    <row r="88" spans="1:20" s="31" customFormat="1" x14ac:dyDescent="0.25">
      <c r="A88" s="25" t="s">
        <v>25</v>
      </c>
      <c r="B88" s="42"/>
      <c r="C88" s="42"/>
      <c r="D88" s="25"/>
      <c r="E88" s="25"/>
      <c r="F88" s="42" t="e">
        <f t="shared" si="5"/>
        <v>#REF!</v>
      </c>
      <c r="G88" s="42" t="e">
        <f t="shared" si="5"/>
        <v>#REF!</v>
      </c>
      <c r="H88" s="43"/>
      <c r="K88" s="31" t="str">
        <f>"""GP"",""Ute Indian Tribe Membership Fund"",""aaa_contract_detail_sp"",""JRNENTRY"",""1576499"",""aaGLHdrID"",""1744459"",""aaGLDistID"",""21"",""aaGLAssignID"",""1"",""contract"",""3420 FIA 54 UT 2025 5101"""</f>
        <v>"GP","Ute Indian Tribe Membership Fund","aaa_contract_detail_sp","JRNENTRY","1576499","aaGLHdrID","1744459","aaGLDistID","21","aaGLAssignID","1","contract","3420 FIA 54 UT 2025 5101"</v>
      </c>
      <c r="L88" s="44">
        <v>45631</v>
      </c>
      <c r="M88" s="31">
        <v>1576499</v>
      </c>
      <c r="N88" s="31" t="str">
        <f>""</f>
        <v/>
      </c>
      <c r="O88" s="31" t="str">
        <f>""</f>
        <v/>
      </c>
      <c r="P88" s="31" t="str">
        <f>""</f>
        <v/>
      </c>
      <c r="Q88" s="45" t="str">
        <f>""</f>
        <v/>
      </c>
      <c r="R88" s="46">
        <v>53.37</v>
      </c>
      <c r="S88" s="46">
        <v>0</v>
      </c>
      <c r="T88" s="47">
        <f t="shared" si="6"/>
        <v>53.37</v>
      </c>
    </row>
    <row r="89" spans="1:20" s="31" customFormat="1" x14ac:dyDescent="0.25">
      <c r="A89" s="25" t="s">
        <v>25</v>
      </c>
      <c r="B89" s="42"/>
      <c r="C89" s="42"/>
      <c r="D89" s="25"/>
      <c r="E89" s="25"/>
      <c r="F89" s="42" t="e">
        <f t="shared" si="5"/>
        <v>#REF!</v>
      </c>
      <c r="G89" s="42" t="e">
        <f t="shared" si="5"/>
        <v>#REF!</v>
      </c>
      <c r="H89" s="43"/>
      <c r="K89" s="31" t="str">
        <f>"""GP"",""Ute Indian Tribe Membership Fund"",""aaa_contract_detail_sp"",""JRNENTRY"",""1576610"",""aaGLHdrID"",""1744570"",""aaGLDistID"",""19"",""aaGLAssignID"",""1"",""contract"",""3420 FIA 54 UT 2025 5101"""</f>
        <v>"GP","Ute Indian Tribe Membership Fund","aaa_contract_detail_sp","JRNENTRY","1576610","aaGLHdrID","1744570","aaGLDistID","19","aaGLAssignID","1","contract","3420 FIA 54 UT 2025 5101"</v>
      </c>
      <c r="L89" s="44">
        <v>45631</v>
      </c>
      <c r="M89" s="31">
        <v>1576610</v>
      </c>
      <c r="N89" s="31" t="str">
        <f>""</f>
        <v/>
      </c>
      <c r="O89" s="31" t="str">
        <f>""</f>
        <v/>
      </c>
      <c r="P89" s="31" t="str">
        <f>""</f>
        <v/>
      </c>
      <c r="Q89" s="45" t="str">
        <f>""</f>
        <v/>
      </c>
      <c r="R89" s="46">
        <v>218.62</v>
      </c>
      <c r="S89" s="46">
        <v>0</v>
      </c>
      <c r="T89" s="47">
        <f t="shared" si="6"/>
        <v>218.62</v>
      </c>
    </row>
    <row r="90" spans="1:20" s="31" customFormat="1" x14ac:dyDescent="0.25">
      <c r="A90" s="25" t="s">
        <v>25</v>
      </c>
      <c r="B90" s="42"/>
      <c r="C90" s="42"/>
      <c r="D90" s="25"/>
      <c r="E90" s="25"/>
      <c r="F90" s="42" t="e">
        <f t="shared" si="5"/>
        <v>#REF!</v>
      </c>
      <c r="G90" s="42" t="e">
        <f t="shared" si="5"/>
        <v>#REF!</v>
      </c>
      <c r="H90" s="43"/>
      <c r="K90" s="31" t="str">
        <f>"""GP"",""Ute Indian Tribe Membership Fund"",""aaa_contract_detail_sp"",""JRNENTRY"",""1576610"",""aaGLHdrID"",""1744570"",""aaGLDistID"",""20"",""aaGLAssignID"",""1"",""contract"",""3420 FIA 54 UT 2025 5101"""</f>
        <v>"GP","Ute Indian Tribe Membership Fund","aaa_contract_detail_sp","JRNENTRY","1576610","aaGLHdrID","1744570","aaGLDistID","20","aaGLAssignID","1","contract","3420 FIA 54 UT 2025 5101"</v>
      </c>
      <c r="L90" s="44">
        <v>45631</v>
      </c>
      <c r="M90" s="31">
        <v>1576610</v>
      </c>
      <c r="N90" s="31" t="str">
        <f>""</f>
        <v/>
      </c>
      <c r="O90" s="31" t="str">
        <f>""</f>
        <v/>
      </c>
      <c r="P90" s="31" t="str">
        <f>""</f>
        <v/>
      </c>
      <c r="Q90" s="45" t="str">
        <f>""</f>
        <v/>
      </c>
      <c r="R90" s="46">
        <v>51.12</v>
      </c>
      <c r="S90" s="46">
        <v>0</v>
      </c>
      <c r="T90" s="47">
        <f t="shared" si="6"/>
        <v>51.12</v>
      </c>
    </row>
    <row r="91" spans="1:20" s="31" customFormat="1" x14ac:dyDescent="0.25">
      <c r="A91" s="25" t="s">
        <v>25</v>
      </c>
      <c r="B91" s="42"/>
      <c r="C91" s="42"/>
      <c r="D91" s="25"/>
      <c r="E91" s="25"/>
      <c r="F91" s="42" t="e">
        <f t="shared" si="5"/>
        <v>#REF!</v>
      </c>
      <c r="G91" s="42" t="e">
        <f t="shared" si="5"/>
        <v>#REF!</v>
      </c>
      <c r="H91" s="43"/>
      <c r="K91" s="31" t="str">
        <f>"""GP"",""Ute Indian Tribe Membership Fund"",""aaa_contract_detail_sp"",""JRNENTRY"",""1576624"",""aaGLHdrID"",""1744584"",""aaGLDistID"",""18"",""aaGLAssignID"",""1"",""contract"",""3420 FIA 54 UT 2025 5101"""</f>
        <v>"GP","Ute Indian Tribe Membership Fund","aaa_contract_detail_sp","JRNENTRY","1576624","aaGLHdrID","1744584","aaGLDistID","18","aaGLAssignID","1","contract","3420 FIA 54 UT 2025 5101"</v>
      </c>
      <c r="L91" s="44">
        <v>45631</v>
      </c>
      <c r="M91" s="31">
        <v>1576624</v>
      </c>
      <c r="N91" s="31" t="str">
        <f>""</f>
        <v/>
      </c>
      <c r="O91" s="31" t="str">
        <f>""</f>
        <v/>
      </c>
      <c r="P91" s="31" t="str">
        <f>""</f>
        <v/>
      </c>
      <c r="Q91" s="45" t="str">
        <f>""</f>
        <v/>
      </c>
      <c r="R91" s="46">
        <v>223.06</v>
      </c>
      <c r="S91" s="46">
        <v>0</v>
      </c>
      <c r="T91" s="47">
        <f t="shared" si="6"/>
        <v>223.06</v>
      </c>
    </row>
    <row r="92" spans="1:20" s="31" customFormat="1" x14ac:dyDescent="0.25">
      <c r="A92" s="25" t="s">
        <v>25</v>
      </c>
      <c r="B92" s="42"/>
      <c r="C92" s="42"/>
      <c r="D92" s="25"/>
      <c r="E92" s="25"/>
      <c r="F92" s="42" t="e">
        <f t="shared" si="5"/>
        <v>#REF!</v>
      </c>
      <c r="G92" s="42" t="e">
        <f t="shared" si="5"/>
        <v>#REF!</v>
      </c>
      <c r="H92" s="43"/>
      <c r="K92" s="31" t="str">
        <f>"""GP"",""Ute Indian Tribe Membership Fund"",""aaa_contract_detail_sp"",""JRNENTRY"",""1576624"",""aaGLHdrID"",""1744584"",""aaGLDistID"",""19"",""aaGLAssignID"",""1"",""contract"",""3420 FIA 54 UT 2025 5101"""</f>
        <v>"GP","Ute Indian Tribe Membership Fund","aaa_contract_detail_sp","JRNENTRY","1576624","aaGLHdrID","1744584","aaGLDistID","19","aaGLAssignID","1","contract","3420 FIA 54 UT 2025 5101"</v>
      </c>
      <c r="L92" s="44">
        <v>45631</v>
      </c>
      <c r="M92" s="31">
        <v>1576624</v>
      </c>
      <c r="N92" s="31" t="str">
        <f>""</f>
        <v/>
      </c>
      <c r="O92" s="31" t="str">
        <f>""</f>
        <v/>
      </c>
      <c r="P92" s="31" t="str">
        <f>""</f>
        <v/>
      </c>
      <c r="Q92" s="45" t="str">
        <f>""</f>
        <v/>
      </c>
      <c r="R92" s="46">
        <v>52.17</v>
      </c>
      <c r="S92" s="46">
        <v>0</v>
      </c>
      <c r="T92" s="47">
        <f t="shared" si="6"/>
        <v>52.17</v>
      </c>
    </row>
    <row r="93" spans="1:20" s="31" customFormat="1" x14ac:dyDescent="0.25">
      <c r="A93" s="25" t="s">
        <v>25</v>
      </c>
      <c r="B93" s="42"/>
      <c r="C93" s="42"/>
      <c r="D93" s="25"/>
      <c r="E93" s="25"/>
      <c r="F93" s="42" t="e">
        <f t="shared" si="5"/>
        <v>#REF!</v>
      </c>
      <c r="G93" s="42" t="e">
        <f t="shared" si="5"/>
        <v>#REF!</v>
      </c>
      <c r="H93" s="43"/>
      <c r="K93" s="31" t="str">
        <f>"""GP"",""Ute Indian Tribe Membership Fund"",""aaa_contract_detail_sp"",""JRNENTRY"",""1576667"",""aaGLHdrID"",""1744627"",""aaGLDistID"",""16"",""aaGLAssignID"",""1"",""contract"",""3420 FIA 54 UT 2025 5101"""</f>
        <v>"GP","Ute Indian Tribe Membership Fund","aaa_contract_detail_sp","JRNENTRY","1576667","aaGLHdrID","1744627","aaGLDistID","16","aaGLAssignID","1","contract","3420 FIA 54 UT 2025 5101"</v>
      </c>
      <c r="L93" s="44">
        <v>45631</v>
      </c>
      <c r="M93" s="31">
        <v>1576667</v>
      </c>
      <c r="N93" s="31" t="str">
        <f>""</f>
        <v/>
      </c>
      <c r="O93" s="31" t="str">
        <f>""</f>
        <v/>
      </c>
      <c r="P93" s="31" t="str">
        <f>""</f>
        <v/>
      </c>
      <c r="Q93" s="45" t="str">
        <f>""</f>
        <v/>
      </c>
      <c r="R93" s="46">
        <v>246.79</v>
      </c>
      <c r="S93" s="46">
        <v>0</v>
      </c>
      <c r="T93" s="47">
        <f t="shared" si="6"/>
        <v>246.79</v>
      </c>
    </row>
    <row r="94" spans="1:20" s="31" customFormat="1" x14ac:dyDescent="0.25">
      <c r="A94" s="25" t="s">
        <v>25</v>
      </c>
      <c r="B94" s="42"/>
      <c r="C94" s="42"/>
      <c r="D94" s="25"/>
      <c r="E94" s="25"/>
      <c r="F94" s="42" t="e">
        <f t="shared" si="5"/>
        <v>#REF!</v>
      </c>
      <c r="G94" s="42" t="e">
        <f t="shared" si="5"/>
        <v>#REF!</v>
      </c>
      <c r="H94" s="43"/>
      <c r="K94" s="31" t="str">
        <f>"""GP"",""Ute Indian Tribe Membership Fund"",""aaa_contract_detail_sp"",""JRNENTRY"",""1576667"",""aaGLHdrID"",""1744627"",""aaGLDistID"",""17"",""aaGLAssignID"",""1"",""contract"",""3420 FIA 54 UT 2025 5101"""</f>
        <v>"GP","Ute Indian Tribe Membership Fund","aaa_contract_detail_sp","JRNENTRY","1576667","aaGLHdrID","1744627","aaGLDistID","17","aaGLAssignID","1","contract","3420 FIA 54 UT 2025 5101"</v>
      </c>
      <c r="L94" s="44">
        <v>45631</v>
      </c>
      <c r="M94" s="31">
        <v>1576667</v>
      </c>
      <c r="N94" s="31" t="str">
        <f>""</f>
        <v/>
      </c>
      <c r="O94" s="31" t="str">
        <f>""</f>
        <v/>
      </c>
      <c r="P94" s="31" t="str">
        <f>""</f>
        <v/>
      </c>
      <c r="Q94" s="45" t="str">
        <f>""</f>
        <v/>
      </c>
      <c r="R94" s="46">
        <v>57.72</v>
      </c>
      <c r="S94" s="46">
        <v>0</v>
      </c>
      <c r="T94" s="47">
        <f t="shared" si="6"/>
        <v>57.72</v>
      </c>
    </row>
    <row r="95" spans="1:20" s="31" customFormat="1" x14ac:dyDescent="0.25">
      <c r="A95" s="25" t="s">
        <v>25</v>
      </c>
      <c r="B95" s="42"/>
      <c r="C95" s="42"/>
      <c r="D95" s="25"/>
      <c r="E95" s="25"/>
      <c r="F95" s="42" t="e">
        <f t="shared" si="5"/>
        <v>#REF!</v>
      </c>
      <c r="G95" s="42" t="e">
        <f t="shared" si="5"/>
        <v>#REF!</v>
      </c>
      <c r="H95" s="43"/>
      <c r="K95" s="31" t="str">
        <f>"""GP"",""Ute Indian Tribe Membership Fund"",""aaa_contract_detail_sp"",""JRNENTRY"",""1581148"",""aaGLHdrID"",""1750112"",""aaGLDistID"",""21"",""aaGLAssignID"",""1"",""contract"",""3420 FIA 54 UT 2025 5101"""</f>
        <v>"GP","Ute Indian Tribe Membership Fund","aaa_contract_detail_sp","JRNENTRY","1581148","aaGLHdrID","1750112","aaGLDistID","21","aaGLAssignID","1","contract","3420 FIA 54 UT 2025 5101"</v>
      </c>
      <c r="L95" s="44">
        <v>45631</v>
      </c>
      <c r="M95" s="31">
        <v>1581148</v>
      </c>
      <c r="N95" s="31" t="str">
        <f>""</f>
        <v/>
      </c>
      <c r="O95" s="31" t="str">
        <f>""</f>
        <v/>
      </c>
      <c r="P95" s="31" t="str">
        <f>""</f>
        <v/>
      </c>
      <c r="Q95" s="45" t="str">
        <f>""</f>
        <v/>
      </c>
      <c r="R95" s="46">
        <v>37.76</v>
      </c>
      <c r="S95" s="46">
        <v>0</v>
      </c>
      <c r="T95" s="47">
        <f t="shared" si="6"/>
        <v>37.76</v>
      </c>
    </row>
    <row r="96" spans="1:20" s="31" customFormat="1" x14ac:dyDescent="0.25">
      <c r="A96" s="25" t="s">
        <v>25</v>
      </c>
      <c r="B96" s="42"/>
      <c r="C96" s="42"/>
      <c r="D96" s="25"/>
      <c r="E96" s="25"/>
      <c r="F96" s="42" t="e">
        <f t="shared" si="5"/>
        <v>#REF!</v>
      </c>
      <c r="G96" s="42" t="e">
        <f t="shared" si="5"/>
        <v>#REF!</v>
      </c>
      <c r="H96" s="43"/>
      <c r="K96" s="31" t="str">
        <f>"""GP"",""Ute Indian Tribe Membership Fund"",""aaa_contract_detail_sp"",""JRNENTRY"",""1581148"",""aaGLHdrID"",""1750112"",""aaGLDistID"",""509"",""aaGLAssignID"",""1"",""contract"",""3420 FIA 54 UT 2025 5101"""</f>
        <v>"GP","Ute Indian Tribe Membership Fund","aaa_contract_detail_sp","JRNENTRY","1581148","aaGLHdrID","1750112","aaGLDistID","509","aaGLAssignID","1","contract","3420 FIA 54 UT 2025 5101"</v>
      </c>
      <c r="L96" s="44">
        <v>45631</v>
      </c>
      <c r="M96" s="31">
        <v>1581148</v>
      </c>
      <c r="N96" s="31" t="str">
        <f>""</f>
        <v/>
      </c>
      <c r="O96" s="31" t="str">
        <f>""</f>
        <v/>
      </c>
      <c r="P96" s="31" t="str">
        <f>""</f>
        <v/>
      </c>
      <c r="Q96" s="45" t="str">
        <f>""</f>
        <v/>
      </c>
      <c r="R96" s="46">
        <v>40.94</v>
      </c>
      <c r="S96" s="46">
        <v>0</v>
      </c>
      <c r="T96" s="47">
        <f t="shared" si="6"/>
        <v>40.94</v>
      </c>
    </row>
    <row r="97" spans="1:20" s="31" customFormat="1" x14ac:dyDescent="0.25">
      <c r="A97" s="25" t="s">
        <v>25</v>
      </c>
      <c r="B97" s="42"/>
      <c r="C97" s="42"/>
      <c r="D97" s="25"/>
      <c r="E97" s="25"/>
      <c r="F97" s="42" t="e">
        <f t="shared" si="5"/>
        <v>#REF!</v>
      </c>
      <c r="G97" s="42" t="e">
        <f t="shared" si="5"/>
        <v>#REF!</v>
      </c>
      <c r="H97" s="43"/>
      <c r="K97" s="31" t="str">
        <f>"""GP"",""Ute Indian Tribe Membership Fund"",""aaa_contract_detail_sp"",""JRNENTRY"",""1581148"",""aaGLHdrID"",""1750112"",""aaGLDistID"",""510"",""aaGLAssignID"",""1"",""contract"",""3420 FIA 54 UT 2025 5101"""</f>
        <v>"GP","Ute Indian Tribe Membership Fund","aaa_contract_detail_sp","JRNENTRY","1581148","aaGLHdrID","1750112","aaGLDistID","510","aaGLAssignID","1","contract","3420 FIA 54 UT 2025 5101"</v>
      </c>
      <c r="L97" s="44">
        <v>45631</v>
      </c>
      <c r="M97" s="31">
        <v>1581148</v>
      </c>
      <c r="N97" s="31" t="str">
        <f>""</f>
        <v/>
      </c>
      <c r="O97" s="31" t="str">
        <f>""</f>
        <v/>
      </c>
      <c r="P97" s="31" t="str">
        <f>""</f>
        <v/>
      </c>
      <c r="Q97" s="45" t="str">
        <f>""</f>
        <v/>
      </c>
      <c r="R97" s="46">
        <v>36.44</v>
      </c>
      <c r="S97" s="46">
        <v>0</v>
      </c>
      <c r="T97" s="47">
        <f t="shared" si="6"/>
        <v>36.44</v>
      </c>
    </row>
    <row r="98" spans="1:20" s="31" customFormat="1" x14ac:dyDescent="0.25">
      <c r="A98" s="25" t="s">
        <v>25</v>
      </c>
      <c r="B98" s="42"/>
      <c r="C98" s="42"/>
      <c r="D98" s="25"/>
      <c r="E98" s="25"/>
      <c r="F98" s="42" t="e">
        <f t="shared" si="5"/>
        <v>#REF!</v>
      </c>
      <c r="G98" s="42" t="e">
        <f t="shared" si="5"/>
        <v>#REF!</v>
      </c>
      <c r="H98" s="43"/>
      <c r="K98" s="31" t="str">
        <f>"""GP"",""Ute Indian Tribe Membership Fund"",""aaa_contract_detail_sp"",""JRNENTRY"",""1581148"",""aaGLHdrID"",""1750112"",""aaGLDistID"",""511"",""aaGLAssignID"",""1"",""contract"",""3420 FIA 54 UT 2025 5101"""</f>
        <v>"GP","Ute Indian Tribe Membership Fund","aaa_contract_detail_sp","JRNENTRY","1581148","aaGLHdrID","1750112","aaGLDistID","511","aaGLAssignID","1","contract","3420 FIA 54 UT 2025 5101"</v>
      </c>
      <c r="L98" s="44">
        <v>45631</v>
      </c>
      <c r="M98" s="31">
        <v>1581148</v>
      </c>
      <c r="N98" s="31" t="str">
        <f>""</f>
        <v/>
      </c>
      <c r="O98" s="31" t="str">
        <f>""</f>
        <v/>
      </c>
      <c r="P98" s="31" t="str">
        <f>""</f>
        <v/>
      </c>
      <c r="Q98" s="45" t="str">
        <f>""</f>
        <v/>
      </c>
      <c r="R98" s="46">
        <v>37.159999999999997</v>
      </c>
      <c r="S98" s="46">
        <v>0</v>
      </c>
      <c r="T98" s="47">
        <f t="shared" si="6"/>
        <v>37.159999999999997</v>
      </c>
    </row>
    <row r="99" spans="1:20" s="31" customFormat="1" x14ac:dyDescent="0.25">
      <c r="A99" s="25" t="s">
        <v>25</v>
      </c>
      <c r="B99" s="42"/>
      <c r="C99" s="42"/>
      <c r="D99" s="25"/>
      <c r="E99" s="25"/>
      <c r="F99" s="42" t="e">
        <f t="shared" si="5"/>
        <v>#REF!</v>
      </c>
      <c r="G99" s="42" t="e">
        <f t="shared" si="5"/>
        <v>#REF!</v>
      </c>
      <c r="H99" s="43"/>
      <c r="K99" s="31" t="str">
        <f>"""GP"",""Ute Indian Tribe Membership Fund"",""aaa_contract_detail_sp"",""JRNENTRY"",""1581148"",""aaGLHdrID"",""1750112"",""aaGLDistID"",""512"",""aaGLAssignID"",""1"",""contract"",""3420 FIA 54 UT 2025 5101"""</f>
        <v>"GP","Ute Indian Tribe Membership Fund","aaa_contract_detail_sp","JRNENTRY","1581148","aaGLHdrID","1750112","aaGLDistID","512","aaGLAssignID","1","contract","3420 FIA 54 UT 2025 5101"</v>
      </c>
      <c r="L99" s="44">
        <v>45631</v>
      </c>
      <c r="M99" s="31">
        <v>1581148</v>
      </c>
      <c r="N99" s="31" t="str">
        <f>""</f>
        <v/>
      </c>
      <c r="O99" s="31" t="str">
        <f>""</f>
        <v/>
      </c>
      <c r="P99" s="31" t="str">
        <f>""</f>
        <v/>
      </c>
      <c r="Q99" s="45" t="str">
        <f>""</f>
        <v/>
      </c>
      <c r="R99" s="46">
        <v>37.159999999999997</v>
      </c>
      <c r="S99" s="46">
        <v>0</v>
      </c>
      <c r="T99" s="47">
        <f t="shared" si="6"/>
        <v>37.159999999999997</v>
      </c>
    </row>
    <row r="100" spans="1:20" s="31" customFormat="1" x14ac:dyDescent="0.25">
      <c r="A100" s="25" t="s">
        <v>25</v>
      </c>
      <c r="B100" s="42"/>
      <c r="C100" s="42"/>
      <c r="D100" s="25"/>
      <c r="E100" s="25"/>
      <c r="F100" s="42" t="e">
        <f t="shared" si="5"/>
        <v>#REF!</v>
      </c>
      <c r="G100" s="42" t="e">
        <f t="shared" si="5"/>
        <v>#REF!</v>
      </c>
      <c r="H100" s="43"/>
      <c r="K100" s="31" t="str">
        <f>"""GP"",""Ute Indian Tribe Membership Fund"",""aaa_contract_detail_sp"",""JRNENTRY"",""1579589"",""aaGLHdrID"",""1747478"",""aaGLDistID"",""20"",""aaGLAssignID"",""1"",""contract"",""3420 FIA 54 UT 2025 5101"""</f>
        <v>"GP","Ute Indian Tribe Membership Fund","aaa_contract_detail_sp","JRNENTRY","1579589","aaGLHdrID","1747478","aaGLDistID","20","aaGLAssignID","1","contract","3420 FIA 54 UT 2025 5101"</v>
      </c>
      <c r="L100" s="44">
        <v>45645</v>
      </c>
      <c r="M100" s="31">
        <v>1579589</v>
      </c>
      <c r="N100" s="31" t="str">
        <f>""</f>
        <v/>
      </c>
      <c r="O100" s="31" t="str">
        <f>""</f>
        <v/>
      </c>
      <c r="P100" s="31" t="str">
        <f>""</f>
        <v/>
      </c>
      <c r="Q100" s="45" t="str">
        <f>""</f>
        <v/>
      </c>
      <c r="R100" s="46">
        <v>232.6</v>
      </c>
      <c r="S100" s="46">
        <v>0</v>
      </c>
      <c r="T100" s="47">
        <f t="shared" si="6"/>
        <v>232.6</v>
      </c>
    </row>
    <row r="101" spans="1:20" s="31" customFormat="1" x14ac:dyDescent="0.25">
      <c r="A101" s="25" t="s">
        <v>25</v>
      </c>
      <c r="B101" s="42"/>
      <c r="C101" s="42"/>
      <c r="D101" s="25"/>
      <c r="E101" s="25"/>
      <c r="F101" s="42" t="e">
        <f t="shared" si="5"/>
        <v>#REF!</v>
      </c>
      <c r="G101" s="42" t="e">
        <f t="shared" si="5"/>
        <v>#REF!</v>
      </c>
      <c r="H101" s="43"/>
      <c r="K101" s="31" t="str">
        <f>"""GP"",""Ute Indian Tribe Membership Fund"",""aaa_contract_detail_sp"",""JRNENTRY"",""1579589"",""aaGLHdrID"",""1747478"",""aaGLDistID"",""21"",""aaGLAssignID"",""1"",""contract"",""3420 FIA 54 UT 2025 5101"""</f>
        <v>"GP","Ute Indian Tribe Membership Fund","aaa_contract_detail_sp","JRNENTRY","1579589","aaGLHdrID","1747478","aaGLDistID","21","aaGLAssignID","1","contract","3420 FIA 54 UT 2025 5101"</v>
      </c>
      <c r="L101" s="44">
        <v>45645</v>
      </c>
      <c r="M101" s="31">
        <v>1579589</v>
      </c>
      <c r="N101" s="31" t="str">
        <f>""</f>
        <v/>
      </c>
      <c r="O101" s="31" t="str">
        <f>""</f>
        <v/>
      </c>
      <c r="P101" s="31" t="str">
        <f>""</f>
        <v/>
      </c>
      <c r="Q101" s="45" t="str">
        <f>""</f>
        <v/>
      </c>
      <c r="R101" s="46">
        <v>54.4</v>
      </c>
      <c r="S101" s="46">
        <v>0</v>
      </c>
      <c r="T101" s="47">
        <f t="shared" si="6"/>
        <v>54.4</v>
      </c>
    </row>
    <row r="102" spans="1:20" s="31" customFormat="1" x14ac:dyDescent="0.25">
      <c r="A102" s="25" t="s">
        <v>25</v>
      </c>
      <c r="B102" s="42"/>
      <c r="C102" s="42"/>
      <c r="D102" s="25"/>
      <c r="E102" s="25"/>
      <c r="F102" s="42" t="e">
        <f t="shared" si="5"/>
        <v>#REF!</v>
      </c>
      <c r="G102" s="42" t="e">
        <f t="shared" si="5"/>
        <v>#REF!</v>
      </c>
      <c r="H102" s="43"/>
      <c r="K102" s="31" t="str">
        <f>"""GP"",""Ute Indian Tribe Membership Fund"",""aaa_contract_detail_sp"",""JRNENTRY"",""1579700"",""aaGLHdrID"",""1747589"",""aaGLDistID"",""17"",""aaGLAssignID"",""1"",""contract"",""3420 FIA 54 UT 2025 5101"""</f>
        <v>"GP","Ute Indian Tribe Membership Fund","aaa_contract_detail_sp","JRNENTRY","1579700","aaGLHdrID","1747589","aaGLDistID","17","aaGLAssignID","1","contract","3420 FIA 54 UT 2025 5101"</v>
      </c>
      <c r="L102" s="44">
        <v>45645</v>
      </c>
      <c r="M102" s="31">
        <v>1579700</v>
      </c>
      <c r="N102" s="31" t="str">
        <f>""</f>
        <v/>
      </c>
      <c r="O102" s="31" t="str">
        <f>""</f>
        <v/>
      </c>
      <c r="P102" s="31" t="str">
        <f>""</f>
        <v/>
      </c>
      <c r="Q102" s="45" t="str">
        <f>""</f>
        <v/>
      </c>
      <c r="R102" s="46">
        <v>180.91</v>
      </c>
      <c r="S102" s="46">
        <v>0</v>
      </c>
      <c r="T102" s="47">
        <f t="shared" si="6"/>
        <v>180.91</v>
      </c>
    </row>
    <row r="103" spans="1:20" s="31" customFormat="1" x14ac:dyDescent="0.25">
      <c r="A103" s="25" t="s">
        <v>25</v>
      </c>
      <c r="B103" s="42"/>
      <c r="C103" s="42"/>
      <c r="D103" s="25"/>
      <c r="E103" s="25"/>
      <c r="F103" s="42" t="e">
        <f t="shared" si="5"/>
        <v>#REF!</v>
      </c>
      <c r="G103" s="42" t="e">
        <f t="shared" si="5"/>
        <v>#REF!</v>
      </c>
      <c r="H103" s="43"/>
      <c r="K103" s="31" t="str">
        <f>"""GP"",""Ute Indian Tribe Membership Fund"",""aaa_contract_detail_sp"",""JRNENTRY"",""1579700"",""aaGLHdrID"",""1747589"",""aaGLDistID"",""18"",""aaGLAssignID"",""1"",""contract"",""3420 FIA 54 UT 2025 5101"""</f>
        <v>"GP","Ute Indian Tribe Membership Fund","aaa_contract_detail_sp","JRNENTRY","1579700","aaGLHdrID","1747589","aaGLDistID","18","aaGLAssignID","1","contract","3420 FIA 54 UT 2025 5101"</v>
      </c>
      <c r="L103" s="44">
        <v>45645</v>
      </c>
      <c r="M103" s="31">
        <v>1579700</v>
      </c>
      <c r="N103" s="31" t="str">
        <f>""</f>
        <v/>
      </c>
      <c r="O103" s="31" t="str">
        <f>""</f>
        <v/>
      </c>
      <c r="P103" s="31" t="str">
        <f>""</f>
        <v/>
      </c>
      <c r="Q103" s="45" t="str">
        <f>""</f>
        <v/>
      </c>
      <c r="R103" s="46">
        <v>42.31</v>
      </c>
      <c r="S103" s="46">
        <v>0</v>
      </c>
      <c r="T103" s="47">
        <f t="shared" si="6"/>
        <v>42.31</v>
      </c>
    </row>
    <row r="104" spans="1:20" s="31" customFormat="1" x14ac:dyDescent="0.25">
      <c r="A104" s="25" t="s">
        <v>25</v>
      </c>
      <c r="B104" s="42"/>
      <c r="C104" s="42"/>
      <c r="D104" s="25"/>
      <c r="E104" s="25"/>
      <c r="F104" s="42" t="e">
        <f t="shared" si="5"/>
        <v>#REF!</v>
      </c>
      <c r="G104" s="42" t="e">
        <f t="shared" si="5"/>
        <v>#REF!</v>
      </c>
      <c r="H104" s="43"/>
      <c r="K104" s="31" t="str">
        <f>"""GP"",""Ute Indian Tribe Membership Fund"",""aaa_contract_detail_sp"",""JRNENTRY"",""1579713"",""aaGLHdrID"",""1747602"",""aaGLDistID"",""18"",""aaGLAssignID"",""1"",""contract"",""3420 FIA 54 UT 2025 5101"""</f>
        <v>"GP","Ute Indian Tribe Membership Fund","aaa_contract_detail_sp","JRNENTRY","1579713","aaGLHdrID","1747602","aaGLDistID","18","aaGLAssignID","1","contract","3420 FIA 54 UT 2025 5101"</v>
      </c>
      <c r="L104" s="44">
        <v>45645</v>
      </c>
      <c r="M104" s="31">
        <v>1579713</v>
      </c>
      <c r="N104" s="31" t="str">
        <f>""</f>
        <v/>
      </c>
      <c r="O104" s="31" t="str">
        <f>""</f>
        <v/>
      </c>
      <c r="P104" s="31" t="str">
        <f>""</f>
        <v/>
      </c>
      <c r="Q104" s="45" t="str">
        <f>""</f>
        <v/>
      </c>
      <c r="R104" s="46">
        <v>227.47</v>
      </c>
      <c r="S104" s="46">
        <v>0</v>
      </c>
      <c r="T104" s="47">
        <f t="shared" si="6"/>
        <v>227.47</v>
      </c>
    </row>
    <row r="105" spans="1:20" s="31" customFormat="1" x14ac:dyDescent="0.25">
      <c r="A105" s="25" t="s">
        <v>25</v>
      </c>
      <c r="B105" s="42"/>
      <c r="C105" s="42"/>
      <c r="D105" s="25"/>
      <c r="E105" s="25"/>
      <c r="F105" s="42" t="e">
        <f t="shared" si="5"/>
        <v>#REF!</v>
      </c>
      <c r="G105" s="42" t="e">
        <f t="shared" si="5"/>
        <v>#REF!</v>
      </c>
      <c r="H105" s="43"/>
      <c r="K105" s="31" t="str">
        <f>"""GP"",""Ute Indian Tribe Membership Fund"",""aaa_contract_detail_sp"",""JRNENTRY"",""1579713"",""aaGLHdrID"",""1747602"",""aaGLDistID"",""19"",""aaGLAssignID"",""1"",""contract"",""3420 FIA 54 UT 2025 5101"""</f>
        <v>"GP","Ute Indian Tribe Membership Fund","aaa_contract_detail_sp","JRNENTRY","1579713","aaGLHdrID","1747602","aaGLDistID","19","aaGLAssignID","1","contract","3420 FIA 54 UT 2025 5101"</v>
      </c>
      <c r="L105" s="44">
        <v>45645</v>
      </c>
      <c r="M105" s="31">
        <v>1579713</v>
      </c>
      <c r="N105" s="31" t="str">
        <f>""</f>
        <v/>
      </c>
      <c r="O105" s="31" t="str">
        <f>""</f>
        <v/>
      </c>
      <c r="P105" s="31" t="str">
        <f>""</f>
        <v/>
      </c>
      <c r="Q105" s="45" t="str">
        <f>""</f>
        <v/>
      </c>
      <c r="R105" s="46">
        <v>53.19</v>
      </c>
      <c r="S105" s="46">
        <v>0</v>
      </c>
      <c r="T105" s="47">
        <f t="shared" si="6"/>
        <v>53.19</v>
      </c>
    </row>
    <row r="106" spans="1:20" s="31" customFormat="1" x14ac:dyDescent="0.25">
      <c r="A106" s="25" t="s">
        <v>25</v>
      </c>
      <c r="B106" s="42"/>
      <c r="C106" s="42"/>
      <c r="D106" s="25"/>
      <c r="E106" s="25"/>
      <c r="F106" s="42" t="e">
        <f t="shared" si="5"/>
        <v>#REF!</v>
      </c>
      <c r="G106" s="42" t="e">
        <f t="shared" si="5"/>
        <v>#REF!</v>
      </c>
      <c r="H106" s="43"/>
      <c r="K106" s="31" t="str">
        <f>"""GP"",""Ute Indian Tribe Membership Fund"",""aaa_contract_detail_sp"",""JRNENTRY"",""1579755"",""aaGLHdrID"",""1747644"",""aaGLDistID"",""17"",""aaGLAssignID"",""1"",""contract"",""3420 FIA 54 UT 2025 5101"""</f>
        <v>"GP","Ute Indian Tribe Membership Fund","aaa_contract_detail_sp","JRNENTRY","1579755","aaGLHdrID","1747644","aaGLDistID","17","aaGLAssignID","1","contract","3420 FIA 54 UT 2025 5101"</v>
      </c>
      <c r="L106" s="44">
        <v>45645</v>
      </c>
      <c r="M106" s="31">
        <v>1579755</v>
      </c>
      <c r="N106" s="31" t="str">
        <f>""</f>
        <v/>
      </c>
      <c r="O106" s="31" t="str">
        <f>""</f>
        <v/>
      </c>
      <c r="P106" s="31" t="str">
        <f>""</f>
        <v/>
      </c>
      <c r="Q106" s="45" t="str">
        <f>""</f>
        <v/>
      </c>
      <c r="R106" s="46">
        <v>318</v>
      </c>
      <c r="S106" s="46">
        <v>0</v>
      </c>
      <c r="T106" s="47">
        <f t="shared" si="6"/>
        <v>318</v>
      </c>
    </row>
    <row r="107" spans="1:20" s="31" customFormat="1" x14ac:dyDescent="0.25">
      <c r="A107" s="25" t="s">
        <v>25</v>
      </c>
      <c r="B107" s="42"/>
      <c r="C107" s="42"/>
      <c r="D107" s="25"/>
      <c r="E107" s="25"/>
      <c r="F107" s="42" t="e">
        <f t="shared" si="5"/>
        <v>#REF!</v>
      </c>
      <c r="G107" s="42" t="e">
        <f t="shared" si="5"/>
        <v>#REF!</v>
      </c>
      <c r="H107" s="43"/>
      <c r="K107" s="31" t="str">
        <f>"""GP"",""Ute Indian Tribe Membership Fund"",""aaa_contract_detail_sp"",""JRNENTRY"",""1579755"",""aaGLHdrID"",""1747644"",""aaGLDistID"",""18"",""aaGLAssignID"",""1"",""contract"",""3420 FIA 54 UT 2025 5101"""</f>
        <v>"GP","Ute Indian Tribe Membership Fund","aaa_contract_detail_sp","JRNENTRY","1579755","aaGLHdrID","1747644","aaGLDistID","18","aaGLAssignID","1","contract","3420 FIA 54 UT 2025 5101"</v>
      </c>
      <c r="L107" s="44">
        <v>45645</v>
      </c>
      <c r="M107" s="31">
        <v>1579755</v>
      </c>
      <c r="N107" s="31" t="str">
        <f>""</f>
        <v/>
      </c>
      <c r="O107" s="31" t="str">
        <f>""</f>
        <v/>
      </c>
      <c r="P107" s="31" t="str">
        <f>""</f>
        <v/>
      </c>
      <c r="Q107" s="45" t="str">
        <f>""</f>
        <v/>
      </c>
      <c r="R107" s="46">
        <v>74.37</v>
      </c>
      <c r="S107" s="46">
        <v>0</v>
      </c>
      <c r="T107" s="47">
        <f t="shared" si="6"/>
        <v>74.37</v>
      </c>
    </row>
    <row r="108" spans="1:20" s="31" customFormat="1" x14ac:dyDescent="0.25">
      <c r="A108" s="25" t="s">
        <v>25</v>
      </c>
      <c r="B108" s="42"/>
      <c r="C108" s="42"/>
      <c r="D108" s="25"/>
      <c r="E108" s="25"/>
      <c r="F108" s="42" t="e">
        <f t="shared" si="5"/>
        <v>#REF!</v>
      </c>
      <c r="G108" s="42" t="e">
        <f t="shared" si="5"/>
        <v>#REF!</v>
      </c>
      <c r="H108" s="43"/>
      <c r="K108" s="31" t="str">
        <f>"""GP"",""Ute Indian Tribe Membership Fund"",""aaa_contract_detail_sp"",""JRNENTRY"",""1581194"",""aaGLHdrID"",""1750113"",""aaGLDistID"",""23"",""aaGLAssignID"",""1"",""contract"",""3420 FIA 54 UT 2025 5101"""</f>
        <v>"GP","Ute Indian Tribe Membership Fund","aaa_contract_detail_sp","JRNENTRY","1581194","aaGLHdrID","1750113","aaGLDistID","23","aaGLAssignID","1","contract","3420 FIA 54 UT 2025 5101"</v>
      </c>
      <c r="L108" s="44">
        <v>45645</v>
      </c>
      <c r="M108" s="31">
        <v>1581194</v>
      </c>
      <c r="N108" s="31" t="str">
        <f>""</f>
        <v/>
      </c>
      <c r="O108" s="31" t="str">
        <f>""</f>
        <v/>
      </c>
      <c r="P108" s="31" t="str">
        <f>""</f>
        <v/>
      </c>
      <c r="Q108" s="45" t="str">
        <f>""</f>
        <v/>
      </c>
      <c r="R108" s="46">
        <v>48.67</v>
      </c>
      <c r="S108" s="46">
        <v>0</v>
      </c>
      <c r="T108" s="47">
        <f t="shared" si="6"/>
        <v>48.67</v>
      </c>
    </row>
    <row r="109" spans="1:20" s="31" customFormat="1" x14ac:dyDescent="0.25">
      <c r="A109" s="25" t="s">
        <v>25</v>
      </c>
      <c r="B109" s="42"/>
      <c r="C109" s="42"/>
      <c r="D109" s="25"/>
      <c r="E109" s="25"/>
      <c r="F109" s="42" t="e">
        <f t="shared" si="5"/>
        <v>#REF!</v>
      </c>
      <c r="G109" s="42" t="e">
        <f t="shared" si="5"/>
        <v>#REF!</v>
      </c>
      <c r="H109" s="43"/>
      <c r="K109" s="31" t="str">
        <f>"""GP"",""Ute Indian Tribe Membership Fund"",""aaa_contract_detail_sp"",""JRNENTRY"",""1581194"",""aaGLHdrID"",""1750113"",""aaGLDistID"",""476"",""aaGLAssignID"",""1"",""contract"",""3420 FIA 54 UT 2025 5101"""</f>
        <v>"GP","Ute Indian Tribe Membership Fund","aaa_contract_detail_sp","JRNENTRY","1581194","aaGLHdrID","1750113","aaGLDistID","476","aaGLAssignID","1","contract","3420 FIA 54 UT 2025 5101"</v>
      </c>
      <c r="L109" s="44">
        <v>45645</v>
      </c>
      <c r="M109" s="31">
        <v>1581194</v>
      </c>
      <c r="N109" s="31" t="str">
        <f>""</f>
        <v/>
      </c>
      <c r="O109" s="31" t="str">
        <f>""</f>
        <v/>
      </c>
      <c r="P109" s="31" t="str">
        <f>""</f>
        <v/>
      </c>
      <c r="Q109" s="45" t="str">
        <f>""</f>
        <v/>
      </c>
      <c r="R109" s="46">
        <v>52.43</v>
      </c>
      <c r="S109" s="46">
        <v>0</v>
      </c>
      <c r="T109" s="47">
        <f t="shared" si="6"/>
        <v>52.43</v>
      </c>
    </row>
    <row r="110" spans="1:20" s="31" customFormat="1" x14ac:dyDescent="0.25">
      <c r="A110" s="25" t="s">
        <v>25</v>
      </c>
      <c r="B110" s="42"/>
      <c r="C110" s="42"/>
      <c r="D110" s="25"/>
      <c r="E110" s="25"/>
      <c r="F110" s="42" t="e">
        <f t="shared" si="5"/>
        <v>#REF!</v>
      </c>
      <c r="G110" s="42" t="e">
        <f t="shared" si="5"/>
        <v>#REF!</v>
      </c>
      <c r="H110" s="43"/>
      <c r="K110" s="31" t="str">
        <f>"""GP"",""Ute Indian Tribe Membership Fund"",""aaa_contract_detail_sp"",""JRNENTRY"",""1581194"",""aaGLHdrID"",""1750113"",""aaGLDistID"",""477"",""aaGLAssignID"",""1"",""contract"",""3420 FIA 54 UT 2025 5101"""</f>
        <v>"GP","Ute Indian Tribe Membership Fund","aaa_contract_detail_sp","JRNENTRY","1581194","aaGLHdrID","1750113","aaGLDistID","477","aaGLAssignID","1","contract","3420 FIA 54 UT 2025 5101"</v>
      </c>
      <c r="L110" s="44">
        <v>45645</v>
      </c>
      <c r="M110" s="31">
        <v>1581194</v>
      </c>
      <c r="N110" s="31" t="str">
        <f>""</f>
        <v/>
      </c>
      <c r="O110" s="31" t="str">
        <f>""</f>
        <v/>
      </c>
      <c r="P110" s="31" t="str">
        <f>""</f>
        <v/>
      </c>
      <c r="Q110" s="45" t="str">
        <f>""</f>
        <v/>
      </c>
      <c r="R110" s="46">
        <v>30.36</v>
      </c>
      <c r="S110" s="46">
        <v>0</v>
      </c>
      <c r="T110" s="47">
        <f t="shared" si="6"/>
        <v>30.36</v>
      </c>
    </row>
    <row r="111" spans="1:20" s="31" customFormat="1" x14ac:dyDescent="0.25">
      <c r="A111" s="25" t="s">
        <v>25</v>
      </c>
      <c r="B111" s="42"/>
      <c r="C111" s="42"/>
      <c r="D111" s="25"/>
      <c r="E111" s="25"/>
      <c r="F111" s="42" t="e">
        <f t="shared" si="5"/>
        <v>#REF!</v>
      </c>
      <c r="G111" s="42" t="e">
        <f t="shared" si="5"/>
        <v>#REF!</v>
      </c>
      <c r="H111" s="43"/>
      <c r="K111" s="31" t="str">
        <f>"""GP"",""Ute Indian Tribe Membership Fund"",""aaa_contract_detail_sp"",""JRNENTRY"",""1581194"",""aaGLHdrID"",""1750113"",""aaGLDistID"",""478"",""aaGLAssignID"",""1"",""contract"",""3420 FIA 54 UT 2025 5101"""</f>
        <v>"GP","Ute Indian Tribe Membership Fund","aaa_contract_detail_sp","JRNENTRY","1581194","aaGLHdrID","1750113","aaGLDistID","478","aaGLAssignID","1","contract","3420 FIA 54 UT 2025 5101"</v>
      </c>
      <c r="L111" s="44">
        <v>45645</v>
      </c>
      <c r="M111" s="31">
        <v>1581194</v>
      </c>
      <c r="N111" s="31" t="str">
        <f>""</f>
        <v/>
      </c>
      <c r="O111" s="31" t="str">
        <f>""</f>
        <v/>
      </c>
      <c r="P111" s="31" t="str">
        <f>""</f>
        <v/>
      </c>
      <c r="Q111" s="45" t="str">
        <f>""</f>
        <v/>
      </c>
      <c r="R111" s="46">
        <v>37.869999999999997</v>
      </c>
      <c r="S111" s="46">
        <v>0</v>
      </c>
      <c r="T111" s="47">
        <f t="shared" si="6"/>
        <v>37.869999999999997</v>
      </c>
    </row>
    <row r="112" spans="1:20" s="31" customFormat="1" x14ac:dyDescent="0.25">
      <c r="A112" s="25" t="s">
        <v>25</v>
      </c>
      <c r="B112" s="42"/>
      <c r="C112" s="42"/>
      <c r="D112" s="25"/>
      <c r="E112" s="25"/>
      <c r="F112" s="42" t="e">
        <f t="shared" si="5"/>
        <v>#REF!</v>
      </c>
      <c r="G112" s="42" t="e">
        <f t="shared" si="5"/>
        <v>#REF!</v>
      </c>
      <c r="H112" s="43"/>
      <c r="K112" s="31" t="str">
        <f>"""GP"",""Ute Indian Tribe Membership Fund"",""aaa_contract_detail_sp"",""JRNENTRY"",""1581194"",""aaGLHdrID"",""1750113"",""aaGLDistID"",""479"",""aaGLAssignID"",""1"",""contract"",""3420 FIA 54 UT 2025 5101"""</f>
        <v>"GP","Ute Indian Tribe Membership Fund","aaa_contract_detail_sp","JRNENTRY","1581194","aaGLHdrID","1750113","aaGLDistID","479","aaGLAssignID","1","contract","3420 FIA 54 UT 2025 5101"</v>
      </c>
      <c r="L112" s="44">
        <v>45645</v>
      </c>
      <c r="M112" s="31">
        <v>1581194</v>
      </c>
      <c r="N112" s="31" t="str">
        <f>""</f>
        <v/>
      </c>
      <c r="O112" s="31" t="str">
        <f>""</f>
        <v/>
      </c>
      <c r="P112" s="31" t="str">
        <f>""</f>
        <v/>
      </c>
      <c r="Q112" s="45" t="str">
        <f>""</f>
        <v/>
      </c>
      <c r="R112" s="46">
        <v>37.869999999999997</v>
      </c>
      <c r="S112" s="46">
        <v>0</v>
      </c>
      <c r="T112" s="47">
        <f t="shared" si="6"/>
        <v>37.869999999999997</v>
      </c>
    </row>
    <row r="113" spans="1:20" s="31" customFormat="1" x14ac:dyDescent="0.25">
      <c r="A113" s="25" t="s">
        <v>25</v>
      </c>
      <c r="B113" s="42"/>
      <c r="C113" s="42"/>
      <c r="D113" s="25"/>
      <c r="E113" s="25"/>
      <c r="F113" s="42" t="e">
        <f t="shared" si="5"/>
        <v>#REF!</v>
      </c>
      <c r="G113" s="42" t="e">
        <f t="shared" si="5"/>
        <v>#REF!</v>
      </c>
      <c r="H113" s="43"/>
      <c r="K113" s="31" t="str">
        <f>"""GP"",""Ute Indian Tribe Membership Fund"",""aaa_contract_detail_sp"",""JRNENTRY"",""1580661"",""aaGLHdrID"",""1748400"",""aaGLDistID"",""19"",""aaGLAssignID"",""1"",""contract"",""3420 FIA 54 UT 2025 5101"""</f>
        <v>"GP","Ute Indian Tribe Membership Fund","aaa_contract_detail_sp","JRNENTRY","1580661","aaGLHdrID","1748400","aaGLDistID","19","aaGLAssignID","1","contract","3420 FIA 54 UT 2025 5101"</v>
      </c>
      <c r="L113" s="44">
        <v>45656</v>
      </c>
      <c r="M113" s="31">
        <v>1580661</v>
      </c>
      <c r="N113" s="31" t="str">
        <f>""</f>
        <v/>
      </c>
      <c r="O113" s="31" t="str">
        <f>""</f>
        <v/>
      </c>
      <c r="P113" s="31" t="str">
        <f>""</f>
        <v/>
      </c>
      <c r="Q113" s="45" t="str">
        <f>""</f>
        <v/>
      </c>
      <c r="R113" s="46">
        <v>185.33</v>
      </c>
      <c r="S113" s="46">
        <v>0</v>
      </c>
      <c r="T113" s="47">
        <f t="shared" si="6"/>
        <v>185.33</v>
      </c>
    </row>
    <row r="114" spans="1:20" s="31" customFormat="1" x14ac:dyDescent="0.25">
      <c r="A114" s="25" t="s">
        <v>25</v>
      </c>
      <c r="B114" s="42"/>
      <c r="C114" s="42"/>
      <c r="D114" s="25"/>
      <c r="E114" s="25"/>
      <c r="F114" s="42" t="e">
        <f t="shared" si="5"/>
        <v>#REF!</v>
      </c>
      <c r="G114" s="42" t="e">
        <f t="shared" si="5"/>
        <v>#REF!</v>
      </c>
      <c r="H114" s="43"/>
      <c r="K114" s="31" t="str">
        <f>"""GP"",""Ute Indian Tribe Membership Fund"",""aaa_contract_detail_sp"",""JRNENTRY"",""1580661"",""aaGLHdrID"",""1748400"",""aaGLDistID"",""20"",""aaGLAssignID"",""1"",""contract"",""3420 FIA 54 UT 2025 5101"""</f>
        <v>"GP","Ute Indian Tribe Membership Fund","aaa_contract_detail_sp","JRNENTRY","1580661","aaGLHdrID","1748400","aaGLDistID","20","aaGLAssignID","1","contract","3420 FIA 54 UT 2025 5101"</v>
      </c>
      <c r="L114" s="44">
        <v>45656</v>
      </c>
      <c r="M114" s="31">
        <v>1580661</v>
      </c>
      <c r="N114" s="31" t="str">
        <f>""</f>
        <v/>
      </c>
      <c r="O114" s="31" t="str">
        <f>""</f>
        <v/>
      </c>
      <c r="P114" s="31" t="str">
        <f>""</f>
        <v/>
      </c>
      <c r="Q114" s="45" t="str">
        <f>""</f>
        <v/>
      </c>
      <c r="R114" s="46">
        <v>43.34</v>
      </c>
      <c r="S114" s="46">
        <v>0</v>
      </c>
      <c r="T114" s="47">
        <f t="shared" si="6"/>
        <v>43.34</v>
      </c>
    </row>
    <row r="115" spans="1:20" s="31" customFormat="1" x14ac:dyDescent="0.25">
      <c r="A115" s="25" t="s">
        <v>25</v>
      </c>
      <c r="B115" s="42"/>
      <c r="C115" s="42"/>
      <c r="D115" s="25"/>
      <c r="E115" s="25"/>
      <c r="F115" s="42" t="e">
        <f t="shared" si="5"/>
        <v>#REF!</v>
      </c>
      <c r="G115" s="42" t="e">
        <f t="shared" si="5"/>
        <v>#REF!</v>
      </c>
      <c r="H115" s="43"/>
      <c r="K115" s="31" t="str">
        <f>"""GP"",""Ute Indian Tribe Membership Fund"",""aaa_contract_detail_sp"",""JRNENTRY"",""1580770"",""aaGLHdrID"",""1748509"",""aaGLDistID"",""16"",""aaGLAssignID"",""1"",""contract"",""3420 FIA 54 UT 2025 5101"""</f>
        <v>"GP","Ute Indian Tribe Membership Fund","aaa_contract_detail_sp","JRNENTRY","1580770","aaGLHdrID","1748509","aaGLDistID","16","aaGLAssignID","1","contract","3420 FIA 54 UT 2025 5101"</v>
      </c>
      <c r="L115" s="44">
        <v>45656</v>
      </c>
      <c r="M115" s="31">
        <v>1580770</v>
      </c>
      <c r="N115" s="31" t="str">
        <f>""</f>
        <v/>
      </c>
      <c r="O115" s="31" t="str">
        <f>""</f>
        <v/>
      </c>
      <c r="P115" s="31" t="str">
        <f>""</f>
        <v/>
      </c>
      <c r="Q115" s="45" t="str">
        <f>""</f>
        <v/>
      </c>
      <c r="R115" s="46">
        <v>155.11000000000001</v>
      </c>
      <c r="S115" s="46">
        <v>0</v>
      </c>
      <c r="T115" s="47">
        <f t="shared" si="6"/>
        <v>155.11000000000001</v>
      </c>
    </row>
    <row r="116" spans="1:20" s="31" customFormat="1" x14ac:dyDescent="0.25">
      <c r="A116" s="25" t="s">
        <v>25</v>
      </c>
      <c r="B116" s="42"/>
      <c r="C116" s="42"/>
      <c r="D116" s="25"/>
      <c r="E116" s="25"/>
      <c r="F116" s="42" t="e">
        <f t="shared" ref="F116:G125" si="7">F115</f>
        <v>#REF!</v>
      </c>
      <c r="G116" s="42" t="e">
        <f t="shared" si="7"/>
        <v>#REF!</v>
      </c>
      <c r="H116" s="43"/>
      <c r="K116" s="31" t="str">
        <f>"""GP"",""Ute Indian Tribe Membership Fund"",""aaa_contract_detail_sp"",""JRNENTRY"",""1580770"",""aaGLHdrID"",""1748509"",""aaGLDistID"",""17"",""aaGLAssignID"",""1"",""contract"",""3420 FIA 54 UT 2025 5101"""</f>
        <v>"GP","Ute Indian Tribe Membership Fund","aaa_contract_detail_sp","JRNENTRY","1580770","aaGLHdrID","1748509","aaGLDistID","17","aaGLAssignID","1","contract","3420 FIA 54 UT 2025 5101"</v>
      </c>
      <c r="L116" s="44">
        <v>45656</v>
      </c>
      <c r="M116" s="31">
        <v>1580770</v>
      </c>
      <c r="N116" s="31" t="str">
        <f>""</f>
        <v/>
      </c>
      <c r="O116" s="31" t="str">
        <f>""</f>
        <v/>
      </c>
      <c r="P116" s="31" t="str">
        <f>""</f>
        <v/>
      </c>
      <c r="Q116" s="45" t="str">
        <f>""</f>
        <v/>
      </c>
      <c r="R116" s="46">
        <v>36.28</v>
      </c>
      <c r="S116" s="46">
        <v>0</v>
      </c>
      <c r="T116" s="47">
        <f t="shared" si="6"/>
        <v>36.28</v>
      </c>
    </row>
    <row r="117" spans="1:20" s="31" customFormat="1" x14ac:dyDescent="0.25">
      <c r="A117" s="25" t="s">
        <v>25</v>
      </c>
      <c r="B117" s="42"/>
      <c r="C117" s="42"/>
      <c r="D117" s="25"/>
      <c r="E117" s="25"/>
      <c r="F117" s="42" t="e">
        <f t="shared" si="7"/>
        <v>#REF!</v>
      </c>
      <c r="G117" s="42" t="e">
        <f t="shared" si="7"/>
        <v>#REF!</v>
      </c>
      <c r="H117" s="43"/>
      <c r="K117" s="31" t="str">
        <f>"""GP"",""Ute Indian Tribe Membership Fund"",""aaa_contract_detail_sp"",""JRNENTRY"",""1580783"",""aaGLHdrID"",""1748522"",""aaGLDistID"",""16"",""aaGLAssignID"",""1"",""contract"",""3420 FIA 54 UT 2025 5101"""</f>
        <v>"GP","Ute Indian Tribe Membership Fund","aaa_contract_detail_sp","JRNENTRY","1580783","aaGLHdrID","1748522","aaGLDistID","16","aaGLAssignID","1","contract","3420 FIA 54 UT 2025 5101"</v>
      </c>
      <c r="L117" s="44">
        <v>45656</v>
      </c>
      <c r="M117" s="31">
        <v>1580783</v>
      </c>
      <c r="N117" s="31" t="str">
        <f>""</f>
        <v/>
      </c>
      <c r="O117" s="31" t="str">
        <f>""</f>
        <v/>
      </c>
      <c r="P117" s="31" t="str">
        <f>""</f>
        <v/>
      </c>
      <c r="Q117" s="45" t="str">
        <f>""</f>
        <v/>
      </c>
      <c r="R117" s="46">
        <v>167.8</v>
      </c>
      <c r="S117" s="46">
        <v>0</v>
      </c>
      <c r="T117" s="47">
        <f t="shared" si="6"/>
        <v>167.8</v>
      </c>
    </row>
    <row r="118" spans="1:20" s="31" customFormat="1" x14ac:dyDescent="0.25">
      <c r="A118" s="25" t="s">
        <v>25</v>
      </c>
      <c r="B118" s="42"/>
      <c r="C118" s="42"/>
      <c r="D118" s="25"/>
      <c r="E118" s="25"/>
      <c r="F118" s="42" t="e">
        <f t="shared" si="7"/>
        <v>#REF!</v>
      </c>
      <c r="G118" s="42" t="e">
        <f t="shared" si="7"/>
        <v>#REF!</v>
      </c>
      <c r="H118" s="43"/>
      <c r="K118" s="31" t="str">
        <f>"""GP"",""Ute Indian Tribe Membership Fund"",""aaa_contract_detail_sp"",""JRNENTRY"",""1580783"",""aaGLHdrID"",""1748522"",""aaGLDistID"",""17"",""aaGLAssignID"",""1"",""contract"",""3420 FIA 54 UT 2025 5101"""</f>
        <v>"GP","Ute Indian Tribe Membership Fund","aaa_contract_detail_sp","JRNENTRY","1580783","aaGLHdrID","1748522","aaGLDistID","17","aaGLAssignID","1","contract","3420 FIA 54 UT 2025 5101"</v>
      </c>
      <c r="L118" s="44">
        <v>45656</v>
      </c>
      <c r="M118" s="31">
        <v>1580783</v>
      </c>
      <c r="N118" s="31" t="str">
        <f>""</f>
        <v/>
      </c>
      <c r="O118" s="31" t="str">
        <f>""</f>
        <v/>
      </c>
      <c r="P118" s="31" t="str">
        <f>""</f>
        <v/>
      </c>
      <c r="Q118" s="45" t="str">
        <f>""</f>
        <v/>
      </c>
      <c r="R118" s="46">
        <v>39.25</v>
      </c>
      <c r="S118" s="46">
        <v>0</v>
      </c>
      <c r="T118" s="47">
        <f t="shared" si="6"/>
        <v>39.25</v>
      </c>
    </row>
    <row r="119" spans="1:20" s="31" customFormat="1" x14ac:dyDescent="0.25">
      <c r="A119" s="25" t="s">
        <v>25</v>
      </c>
      <c r="B119" s="42"/>
      <c r="C119" s="42"/>
      <c r="D119" s="25"/>
      <c r="E119" s="25"/>
      <c r="F119" s="42" t="e">
        <f t="shared" si="7"/>
        <v>#REF!</v>
      </c>
      <c r="G119" s="42" t="e">
        <f t="shared" si="7"/>
        <v>#REF!</v>
      </c>
      <c r="H119" s="43"/>
      <c r="K119" s="31" t="str">
        <f>"""GP"",""Ute Indian Tribe Membership Fund"",""aaa_contract_detail_sp"",""JRNENTRY"",""1580823"",""aaGLHdrID"",""1748562"",""aaGLDistID"",""15"",""aaGLAssignID"",""1"",""contract"",""3420 FIA 54 UT 2025 5101"""</f>
        <v>"GP","Ute Indian Tribe Membership Fund","aaa_contract_detail_sp","JRNENTRY","1580823","aaGLHdrID","1748562","aaGLDistID","15","aaGLAssignID","1","contract","3420 FIA 54 UT 2025 5101"</v>
      </c>
      <c r="L119" s="44">
        <v>45656</v>
      </c>
      <c r="M119" s="31">
        <v>1580823</v>
      </c>
      <c r="N119" s="31" t="str">
        <f>""</f>
        <v/>
      </c>
      <c r="O119" s="31" t="str">
        <f>""</f>
        <v/>
      </c>
      <c r="P119" s="31" t="str">
        <f>""</f>
        <v/>
      </c>
      <c r="Q119" s="45" t="str">
        <f>""</f>
        <v/>
      </c>
      <c r="R119" s="46">
        <v>192.45</v>
      </c>
      <c r="S119" s="46">
        <v>0</v>
      </c>
      <c r="T119" s="47">
        <f t="shared" si="6"/>
        <v>192.45</v>
      </c>
    </row>
    <row r="120" spans="1:20" s="31" customFormat="1" x14ac:dyDescent="0.25">
      <c r="A120" s="25" t="s">
        <v>25</v>
      </c>
      <c r="B120" s="42"/>
      <c r="C120" s="42"/>
      <c r="D120" s="25"/>
      <c r="E120" s="25"/>
      <c r="F120" s="42" t="e">
        <f t="shared" si="7"/>
        <v>#REF!</v>
      </c>
      <c r="G120" s="42" t="e">
        <f t="shared" si="7"/>
        <v>#REF!</v>
      </c>
      <c r="H120" s="43"/>
      <c r="K120" s="31" t="str">
        <f>"""GP"",""Ute Indian Tribe Membership Fund"",""aaa_contract_detail_sp"",""JRNENTRY"",""1580823"",""aaGLHdrID"",""1748562"",""aaGLDistID"",""16"",""aaGLAssignID"",""1"",""contract"",""3420 FIA 54 UT 2025 5101"""</f>
        <v>"GP","Ute Indian Tribe Membership Fund","aaa_contract_detail_sp","JRNENTRY","1580823","aaGLHdrID","1748562","aaGLDistID","16","aaGLAssignID","1","contract","3420 FIA 54 UT 2025 5101"</v>
      </c>
      <c r="L120" s="44">
        <v>45656</v>
      </c>
      <c r="M120" s="31">
        <v>1580823</v>
      </c>
      <c r="N120" s="31" t="str">
        <f>""</f>
        <v/>
      </c>
      <c r="O120" s="31" t="str">
        <f>""</f>
        <v/>
      </c>
      <c r="P120" s="31" t="str">
        <f>""</f>
        <v/>
      </c>
      <c r="Q120" s="45" t="str">
        <f>""</f>
        <v/>
      </c>
      <c r="R120" s="46">
        <v>45.01</v>
      </c>
      <c r="S120" s="46">
        <v>0</v>
      </c>
      <c r="T120" s="47">
        <f t="shared" si="6"/>
        <v>45.01</v>
      </c>
    </row>
    <row r="121" spans="1:20" s="31" customFormat="1" x14ac:dyDescent="0.25">
      <c r="A121" s="25" t="s">
        <v>25</v>
      </c>
      <c r="B121" s="42"/>
      <c r="C121" s="42"/>
      <c r="D121" s="25"/>
      <c r="E121" s="25"/>
      <c r="F121" s="42" t="e">
        <f t="shared" si="7"/>
        <v>#REF!</v>
      </c>
      <c r="G121" s="42" t="e">
        <f t="shared" si="7"/>
        <v>#REF!</v>
      </c>
      <c r="H121" s="43"/>
      <c r="K121" s="31" t="str">
        <f>"""GP"",""Ute Indian Tribe Membership Fund"",""aaa_contract_detail_sp"",""JRNENTRY"",""1581195"",""aaGLHdrID"",""1749142"",""aaGLDistID"",""17"",""aaGLAssignID"",""1"",""contract"",""3420 FIA 54 UT 2025 5101"""</f>
        <v>"GP","Ute Indian Tribe Membership Fund","aaa_contract_detail_sp","JRNENTRY","1581195","aaGLHdrID","1749142","aaGLDistID","17","aaGLAssignID","1","contract","3420 FIA 54 UT 2025 5101"</v>
      </c>
      <c r="L121" s="44">
        <v>45657</v>
      </c>
      <c r="M121" s="31">
        <v>1581195</v>
      </c>
      <c r="N121" s="31" t="str">
        <f>""</f>
        <v/>
      </c>
      <c r="O121" s="31" t="str">
        <f>""</f>
        <v/>
      </c>
      <c r="P121" s="31" t="str">
        <f>""</f>
        <v/>
      </c>
      <c r="Q121" s="45" t="str">
        <f>""</f>
        <v/>
      </c>
      <c r="R121" s="46">
        <v>12.12</v>
      </c>
      <c r="S121" s="46">
        <v>0</v>
      </c>
      <c r="T121" s="47">
        <f t="shared" si="6"/>
        <v>12.12</v>
      </c>
    </row>
    <row r="122" spans="1:20" s="31" customFormat="1" x14ac:dyDescent="0.25">
      <c r="A122" s="25" t="s">
        <v>25</v>
      </c>
      <c r="B122" s="42"/>
      <c r="C122" s="42"/>
      <c r="D122" s="25"/>
      <c r="E122" s="25"/>
      <c r="F122" s="42" t="e">
        <f t="shared" si="7"/>
        <v>#REF!</v>
      </c>
      <c r="G122" s="42" t="e">
        <f t="shared" si="7"/>
        <v>#REF!</v>
      </c>
      <c r="H122" s="43"/>
      <c r="K122" s="31" t="str">
        <f>"""GP"",""Ute Indian Tribe Membership Fund"",""aaa_contract_detail_sp"",""JRNENTRY"",""1581195"",""aaGLHdrID"",""1749142"",""aaGLDistID"",""429"",""aaGLAssignID"",""1"",""contract"",""3420 FIA 54 UT 2025 5101"""</f>
        <v>"GP","Ute Indian Tribe Membership Fund","aaa_contract_detail_sp","JRNENTRY","1581195","aaGLHdrID","1749142","aaGLDistID","429","aaGLAssignID","1","contract","3420 FIA 54 UT 2025 5101"</v>
      </c>
      <c r="L122" s="44">
        <v>45657</v>
      </c>
      <c r="M122" s="31">
        <v>1581195</v>
      </c>
      <c r="N122" s="31" t="str">
        <f>""</f>
        <v/>
      </c>
      <c r="O122" s="31" t="str">
        <f>""</f>
        <v/>
      </c>
      <c r="P122" s="31" t="str">
        <f>""</f>
        <v/>
      </c>
      <c r="Q122" s="45" t="str">
        <f>""</f>
        <v/>
      </c>
      <c r="R122" s="46">
        <v>32.18</v>
      </c>
      <c r="S122" s="46">
        <v>0</v>
      </c>
      <c r="T122" s="47">
        <f t="shared" si="6"/>
        <v>32.18</v>
      </c>
    </row>
    <row r="123" spans="1:20" s="31" customFormat="1" x14ac:dyDescent="0.25">
      <c r="A123" s="25" t="s">
        <v>25</v>
      </c>
      <c r="B123" s="42"/>
      <c r="C123" s="42"/>
      <c r="D123" s="25"/>
      <c r="E123" s="25"/>
      <c r="F123" s="42" t="e">
        <f t="shared" si="7"/>
        <v>#REF!</v>
      </c>
      <c r="G123" s="42" t="e">
        <f t="shared" si="7"/>
        <v>#REF!</v>
      </c>
      <c r="H123" s="43"/>
      <c r="K123" s="31" t="str">
        <f>"""GP"",""Ute Indian Tribe Membership Fund"",""aaa_contract_detail_sp"",""JRNENTRY"",""1581195"",""aaGLHdrID"",""1749142"",""aaGLDistID"",""430"",""aaGLAssignID"",""1"",""contract"",""3420 FIA 54 UT 2025 5101"""</f>
        <v>"GP","Ute Indian Tribe Membership Fund","aaa_contract_detail_sp","JRNENTRY","1581195","aaGLHdrID","1749142","aaGLDistID","430","aaGLAssignID","1","contract","3420 FIA 54 UT 2025 5101"</v>
      </c>
      <c r="L123" s="44">
        <v>45657</v>
      </c>
      <c r="M123" s="31">
        <v>1581195</v>
      </c>
      <c r="N123" s="31" t="str">
        <f>""</f>
        <v/>
      </c>
      <c r="O123" s="31" t="str">
        <f>""</f>
        <v/>
      </c>
      <c r="P123" s="31" t="str">
        <f>""</f>
        <v/>
      </c>
      <c r="Q123" s="45" t="str">
        <f>""</f>
        <v/>
      </c>
      <c r="R123" s="46">
        <v>26.2</v>
      </c>
      <c r="S123" s="46">
        <v>0</v>
      </c>
      <c r="T123" s="47">
        <f t="shared" si="6"/>
        <v>26.2</v>
      </c>
    </row>
    <row r="124" spans="1:20" s="31" customFormat="1" x14ac:dyDescent="0.25">
      <c r="A124" s="25" t="s">
        <v>25</v>
      </c>
      <c r="B124" s="42"/>
      <c r="C124" s="42"/>
      <c r="D124" s="25"/>
      <c r="E124" s="25"/>
      <c r="F124" s="42" t="e">
        <f t="shared" si="7"/>
        <v>#REF!</v>
      </c>
      <c r="G124" s="42" t="e">
        <f t="shared" si="7"/>
        <v>#REF!</v>
      </c>
      <c r="H124" s="43"/>
      <c r="K124" s="31" t="str">
        <f>"""GP"",""Ute Indian Tribe Membership Fund"",""aaa_contract_detail_sp"",""JRNENTRY"",""1581195"",""aaGLHdrID"",""1749142"",""aaGLDistID"",""431"",""aaGLAssignID"",""1"",""contract"",""3420 FIA 54 UT 2025 5101"""</f>
        <v>"GP","Ute Indian Tribe Membership Fund","aaa_contract_detail_sp","JRNENTRY","1581195","aaGLHdrID","1749142","aaGLDistID","431","aaGLAssignID","1","contract","3420 FIA 54 UT 2025 5101"</v>
      </c>
      <c r="L124" s="44">
        <v>45657</v>
      </c>
      <c r="M124" s="31">
        <v>1581195</v>
      </c>
      <c r="N124" s="31" t="str">
        <f>""</f>
        <v/>
      </c>
      <c r="O124" s="31" t="str">
        <f>""</f>
        <v/>
      </c>
      <c r="P124" s="31" t="str">
        <f>""</f>
        <v/>
      </c>
      <c r="Q124" s="45" t="str">
        <f>""</f>
        <v/>
      </c>
      <c r="R124" s="46">
        <v>28.24</v>
      </c>
      <c r="S124" s="46">
        <v>0</v>
      </c>
      <c r="T124" s="47">
        <f t="shared" si="6"/>
        <v>28.24</v>
      </c>
    </row>
    <row r="125" spans="1:20" s="31" customFormat="1" x14ac:dyDescent="0.25">
      <c r="A125" s="25" t="s">
        <v>25</v>
      </c>
      <c r="B125" s="42"/>
      <c r="C125" s="42"/>
      <c r="D125" s="25"/>
      <c r="E125" s="25"/>
      <c r="F125" s="42" t="e">
        <f t="shared" si="7"/>
        <v>#REF!</v>
      </c>
      <c r="G125" s="42" t="e">
        <f t="shared" si="7"/>
        <v>#REF!</v>
      </c>
      <c r="H125" s="43"/>
      <c r="K125" s="31" t="str">
        <f>"""GP"",""Ute Indian Tribe Membership Fund"",""aaa_contract_detail_sp"",""JRNENTRY"",""1581195"",""aaGLHdrID"",""1749142"",""aaGLDistID"",""432"",""aaGLAssignID"",""1"",""contract"",""3420 FIA 54 UT 2025 5101"""</f>
        <v>"GP","Ute Indian Tribe Membership Fund","aaa_contract_detail_sp","JRNENTRY","1581195","aaGLHdrID","1749142","aaGLDistID","432","aaGLAssignID","1","contract","3420 FIA 54 UT 2025 5101"</v>
      </c>
      <c r="L125" s="44">
        <v>45657</v>
      </c>
      <c r="M125" s="31">
        <v>1581195</v>
      </c>
      <c r="N125" s="31" t="str">
        <f>""</f>
        <v/>
      </c>
      <c r="O125" s="31" t="str">
        <f>""</f>
        <v/>
      </c>
      <c r="P125" s="31" t="str">
        <f>""</f>
        <v/>
      </c>
      <c r="Q125" s="45" t="str">
        <f>""</f>
        <v/>
      </c>
      <c r="R125" s="46">
        <v>30.24</v>
      </c>
      <c r="S125" s="46">
        <v>0</v>
      </c>
      <c r="T125" s="47">
        <f t="shared" si="6"/>
        <v>30.24</v>
      </c>
    </row>
    <row r="126" spans="1:20" s="31" customFormat="1" ht="12.75" x14ac:dyDescent="0.2">
      <c r="A126" s="25" t="s">
        <v>25</v>
      </c>
      <c r="B126" s="42"/>
      <c r="C126" s="42"/>
      <c r="D126" s="25"/>
      <c r="E126" s="25"/>
      <c r="F126" s="42" t="e">
        <f>#REF!</f>
        <v>#REF!</v>
      </c>
      <c r="G126" s="42" t="e">
        <f>#REF!</f>
        <v>#REF!</v>
      </c>
      <c r="H126" s="43"/>
    </row>
    <row r="127" spans="1:20" s="31" customFormat="1" ht="12.75" x14ac:dyDescent="0.2">
      <c r="A127" s="25" t="s">
        <v>25</v>
      </c>
      <c r="B127" s="25"/>
      <c r="C127" s="25"/>
      <c r="D127" s="25"/>
      <c r="E127" s="25"/>
      <c r="F127" s="25"/>
      <c r="G127" s="25"/>
      <c r="H127" s="30"/>
      <c r="I127" s="54" t="str">
        <f>I60&amp;"   "&amp;J60&amp;"         Total:"</f>
        <v>5021-0-6110-3420   Taxes         Total:</v>
      </c>
      <c r="J127" s="54"/>
      <c r="K127" s="54"/>
      <c r="L127" s="54"/>
      <c r="M127" s="54"/>
      <c r="N127" s="54"/>
      <c r="O127" s="54"/>
      <c r="P127" s="54"/>
      <c r="Q127" s="54"/>
      <c r="R127" s="54"/>
      <c r="S127" s="54"/>
      <c r="T127" s="48">
        <f>SUBTOTAL(9,T61:T126)</f>
        <v>5644.8999999999978</v>
      </c>
    </row>
    <row r="128" spans="1:20" s="31" customFormat="1" ht="12.75" x14ac:dyDescent="0.2">
      <c r="A128" s="25" t="s">
        <v>25</v>
      </c>
      <c r="B128" s="25"/>
      <c r="C128" s="25"/>
      <c r="D128" s="25"/>
      <c r="E128" s="25"/>
      <c r="F128" s="25"/>
      <c r="G128" s="25"/>
      <c r="H128" s="30"/>
    </row>
    <row r="129" spans="1:20" s="31" customFormat="1" ht="12.75" x14ac:dyDescent="0.2">
      <c r="A129" s="25" t="s">
        <v>25</v>
      </c>
      <c r="B129" s="25"/>
      <c r="C129" s="25"/>
      <c r="D129" s="25"/>
      <c r="E129" s="25"/>
      <c r="F129" s="25"/>
      <c r="G129" s="25"/>
      <c r="H129" s="30"/>
    </row>
    <row r="130" spans="1:20" s="31" customFormat="1" ht="12.75" x14ac:dyDescent="0.2">
      <c r="A130" s="25" t="s">
        <v>25</v>
      </c>
      <c r="B130" s="25"/>
      <c r="C130" s="25"/>
      <c r="D130" s="25"/>
      <c r="E130" s="25"/>
      <c r="F130" s="25" t="str">
        <f>"5021-0-6115-3420"</f>
        <v>5021-0-6115-3420</v>
      </c>
      <c r="G130" s="25" t="str">
        <f>"5021-0-6115-3420"</f>
        <v>5021-0-6115-3420</v>
      </c>
      <c r="H130" s="30"/>
      <c r="I130" s="40" t="str">
        <f>G130</f>
        <v>5021-0-6115-3420</v>
      </c>
      <c r="J130" s="40" t="str">
        <f>"Fringe Benefits - Health and Life Insurance"</f>
        <v>Fringe Benefits - Health and Life Insurance</v>
      </c>
      <c r="Q130" s="40"/>
      <c r="R130" s="41"/>
    </row>
    <row r="131" spans="1:20" s="31" customFormat="1" x14ac:dyDescent="0.25">
      <c r="A131" s="25" t="s">
        <v>25</v>
      </c>
      <c r="B131" s="42"/>
      <c r="C131" s="42"/>
      <c r="D131" s="25"/>
      <c r="E131" s="25"/>
      <c r="F131" s="42" t="e">
        <f>#REF!</f>
        <v>#REF!</v>
      </c>
      <c r="G131" s="42" t="e">
        <f>#REF!</f>
        <v>#REF!</v>
      </c>
      <c r="H131" s="43"/>
      <c r="K131" s="31" t="str">
        <f>"""GP"",""Ute Indian Tribe Membership Fund"",""aaa_contract_detail_sp"",""JRNENTRY"",""1570971"",""aaGLHdrID"",""1739104"",""aaGLDistID"",""21"",""aaGLAssignID"",""1"",""contract"",""3420 FIA 54 UT 2025 5101"""</f>
        <v>"GP","Ute Indian Tribe Membership Fund","aaa_contract_detail_sp","JRNENTRY","1570971","aaGLHdrID","1739104","aaGLDistID","21","aaGLAssignID","1","contract","3420 FIA 54 UT 2025 5101"</v>
      </c>
      <c r="L131" s="44">
        <v>45603</v>
      </c>
      <c r="M131" s="31">
        <v>1570971</v>
      </c>
      <c r="N131" s="31" t="str">
        <f>""</f>
        <v/>
      </c>
      <c r="O131" s="31" t="str">
        <f>""</f>
        <v/>
      </c>
      <c r="P131" s="31" t="str">
        <f>""</f>
        <v/>
      </c>
      <c r="Q131" s="45" t="str">
        <f>""</f>
        <v/>
      </c>
      <c r="R131" s="46">
        <v>347.08</v>
      </c>
      <c r="S131" s="46">
        <v>0</v>
      </c>
      <c r="T131" s="47">
        <f t="shared" ref="T131:T150" si="8">SUM(R131:S131)</f>
        <v>347.08</v>
      </c>
    </row>
    <row r="132" spans="1:20" s="31" customFormat="1" x14ac:dyDescent="0.25">
      <c r="A132" s="25" t="s">
        <v>25</v>
      </c>
      <c r="B132" s="42"/>
      <c r="C132" s="42"/>
      <c r="D132" s="25"/>
      <c r="E132" s="25"/>
      <c r="F132" s="42" t="e">
        <f t="shared" ref="F132:G150" si="9">F131</f>
        <v>#REF!</v>
      </c>
      <c r="G132" s="42" t="e">
        <f t="shared" si="9"/>
        <v>#REF!</v>
      </c>
      <c r="H132" s="43"/>
      <c r="K132" s="31" t="str">
        <f>"""GP"",""Ute Indian Tribe Membership Fund"",""aaa_contract_detail_sp"",""JRNENTRY"",""1571082"",""aaGLHdrID"",""1739215"",""aaGLDistID"",""19"",""aaGLAssignID"",""1"",""contract"",""3420 FIA 54 UT 2025 5101"""</f>
        <v>"GP","Ute Indian Tribe Membership Fund","aaa_contract_detail_sp","JRNENTRY","1571082","aaGLHdrID","1739215","aaGLDistID","19","aaGLAssignID","1","contract","3420 FIA 54 UT 2025 5101"</v>
      </c>
      <c r="L132" s="44">
        <v>45603</v>
      </c>
      <c r="M132" s="31">
        <v>1571082</v>
      </c>
      <c r="N132" s="31" t="str">
        <f>""</f>
        <v/>
      </c>
      <c r="O132" s="31" t="str">
        <f>""</f>
        <v/>
      </c>
      <c r="P132" s="31" t="str">
        <f>""</f>
        <v/>
      </c>
      <c r="Q132" s="45" t="str">
        <f>""</f>
        <v/>
      </c>
      <c r="R132" s="46">
        <v>936.31</v>
      </c>
      <c r="S132" s="46">
        <v>0</v>
      </c>
      <c r="T132" s="47">
        <f t="shared" si="8"/>
        <v>936.31</v>
      </c>
    </row>
    <row r="133" spans="1:20" s="31" customFormat="1" x14ac:dyDescent="0.25">
      <c r="A133" s="25" t="s">
        <v>25</v>
      </c>
      <c r="B133" s="42"/>
      <c r="C133" s="42"/>
      <c r="D133" s="25"/>
      <c r="E133" s="25"/>
      <c r="F133" s="42" t="e">
        <f t="shared" si="9"/>
        <v>#REF!</v>
      </c>
      <c r="G133" s="42" t="e">
        <f t="shared" si="9"/>
        <v>#REF!</v>
      </c>
      <c r="H133" s="43"/>
      <c r="K133" s="31" t="str">
        <f>"""GP"",""Ute Indian Tribe Membership Fund"",""aaa_contract_detail_sp"",""JRNENTRY"",""1571096"",""aaGLHdrID"",""1739229"",""aaGLDistID"",""18"",""aaGLAssignID"",""1"",""contract"",""3420 FIA 54 UT 2025 5101"""</f>
        <v>"GP","Ute Indian Tribe Membership Fund","aaa_contract_detail_sp","JRNENTRY","1571096","aaGLHdrID","1739229","aaGLDistID","18","aaGLAssignID","1","contract","3420 FIA 54 UT 2025 5101"</v>
      </c>
      <c r="L133" s="44">
        <v>45603</v>
      </c>
      <c r="M133" s="31">
        <v>1571096</v>
      </c>
      <c r="N133" s="31" t="str">
        <f>""</f>
        <v/>
      </c>
      <c r="O133" s="31" t="str">
        <f>""</f>
        <v/>
      </c>
      <c r="P133" s="31" t="str">
        <f>""</f>
        <v/>
      </c>
      <c r="Q133" s="45" t="str">
        <f>""</f>
        <v/>
      </c>
      <c r="R133" s="46">
        <v>936.31</v>
      </c>
      <c r="S133" s="46">
        <v>0</v>
      </c>
      <c r="T133" s="47">
        <f t="shared" si="8"/>
        <v>936.31</v>
      </c>
    </row>
    <row r="134" spans="1:20" s="31" customFormat="1" x14ac:dyDescent="0.25">
      <c r="A134" s="25" t="s">
        <v>25</v>
      </c>
      <c r="B134" s="42"/>
      <c r="C134" s="42"/>
      <c r="D134" s="25"/>
      <c r="E134" s="25"/>
      <c r="F134" s="42" t="e">
        <f t="shared" si="9"/>
        <v>#REF!</v>
      </c>
      <c r="G134" s="42" t="e">
        <f t="shared" si="9"/>
        <v>#REF!</v>
      </c>
      <c r="H134" s="43"/>
      <c r="K134" s="31" t="str">
        <f>"""GP"",""Ute Indian Tribe Membership Fund"",""aaa_contract_detail_sp"",""JRNENTRY"",""1571141"",""aaGLHdrID"",""1739274"",""aaGLDistID"",""17"",""aaGLAssignID"",""1"",""contract"",""3420 FIA 54 UT 2025 5101"""</f>
        <v>"GP","Ute Indian Tribe Membership Fund","aaa_contract_detail_sp","JRNENTRY","1571141","aaGLHdrID","1739274","aaGLDistID","17","aaGLAssignID","1","contract","3420 FIA 54 UT 2025 5101"</v>
      </c>
      <c r="L134" s="44">
        <v>45603</v>
      </c>
      <c r="M134" s="31">
        <v>1571141</v>
      </c>
      <c r="N134" s="31" t="str">
        <f>""</f>
        <v/>
      </c>
      <c r="O134" s="31" t="str">
        <f>""</f>
        <v/>
      </c>
      <c r="P134" s="31" t="str">
        <f>""</f>
        <v/>
      </c>
      <c r="Q134" s="45" t="str">
        <f>""</f>
        <v/>
      </c>
      <c r="R134" s="46">
        <v>924.48</v>
      </c>
      <c r="S134" s="46">
        <v>0</v>
      </c>
      <c r="T134" s="47">
        <f t="shared" si="8"/>
        <v>924.48</v>
      </c>
    </row>
    <row r="135" spans="1:20" s="31" customFormat="1" x14ac:dyDescent="0.25">
      <c r="A135" s="25" t="s">
        <v>25</v>
      </c>
      <c r="B135" s="42"/>
      <c r="C135" s="42"/>
      <c r="D135" s="25"/>
      <c r="E135" s="25"/>
      <c r="F135" s="42" t="e">
        <f t="shared" si="9"/>
        <v>#REF!</v>
      </c>
      <c r="G135" s="42" t="e">
        <f t="shared" si="9"/>
        <v>#REF!</v>
      </c>
      <c r="H135" s="43"/>
      <c r="K135" s="31" t="str">
        <f>"""GP"",""Ute Indian Tribe Membership Fund"",""aaa_contract_detail_sp"",""JRNENTRY"",""1574551"",""aaGLHdrID"",""1742277"",""aaGLDistID"",""20"",""aaGLAssignID"",""1"",""contract"",""3420 FIA 54 UT 2025 5101"""</f>
        <v>"GP","Ute Indian Tribe Membership Fund","aaa_contract_detail_sp","JRNENTRY","1574551","aaGLHdrID","1742277","aaGLDistID","20","aaGLAssignID","1","contract","3420 FIA 54 UT 2025 5101"</v>
      </c>
      <c r="L135" s="44">
        <v>45617</v>
      </c>
      <c r="M135" s="31">
        <v>1574551</v>
      </c>
      <c r="N135" s="31" t="str">
        <f>""</f>
        <v/>
      </c>
      <c r="O135" s="31" t="str">
        <f>""</f>
        <v/>
      </c>
      <c r="P135" s="31" t="str">
        <f>""</f>
        <v/>
      </c>
      <c r="Q135" s="45" t="str">
        <f>""</f>
        <v/>
      </c>
      <c r="R135" s="46">
        <v>347.08</v>
      </c>
      <c r="S135" s="46">
        <v>0</v>
      </c>
      <c r="T135" s="47">
        <f t="shared" si="8"/>
        <v>347.08</v>
      </c>
    </row>
    <row r="136" spans="1:20" s="31" customFormat="1" x14ac:dyDescent="0.25">
      <c r="A136" s="25" t="s">
        <v>25</v>
      </c>
      <c r="B136" s="42"/>
      <c r="C136" s="42"/>
      <c r="D136" s="25"/>
      <c r="E136" s="25"/>
      <c r="F136" s="42" t="e">
        <f t="shared" si="9"/>
        <v>#REF!</v>
      </c>
      <c r="G136" s="42" t="e">
        <f t="shared" si="9"/>
        <v>#REF!</v>
      </c>
      <c r="H136" s="43"/>
      <c r="K136" s="31" t="str">
        <f>"""GP"",""Ute Indian Tribe Membership Fund"",""aaa_contract_detail_sp"",""JRNENTRY"",""1574661"",""aaGLHdrID"",""1742387"",""aaGLDistID"",""18"",""aaGLAssignID"",""1"",""contract"",""3420 FIA 54 UT 2025 5101"""</f>
        <v>"GP","Ute Indian Tribe Membership Fund","aaa_contract_detail_sp","JRNENTRY","1574661","aaGLHdrID","1742387","aaGLDistID","18","aaGLAssignID","1","contract","3420 FIA 54 UT 2025 5101"</v>
      </c>
      <c r="L136" s="44">
        <v>45617</v>
      </c>
      <c r="M136" s="31">
        <v>1574661</v>
      </c>
      <c r="N136" s="31" t="str">
        <f>""</f>
        <v/>
      </c>
      <c r="O136" s="31" t="str">
        <f>""</f>
        <v/>
      </c>
      <c r="P136" s="31" t="str">
        <f>""</f>
        <v/>
      </c>
      <c r="Q136" s="45" t="str">
        <f>""</f>
        <v/>
      </c>
      <c r="R136" s="46">
        <v>936.31</v>
      </c>
      <c r="S136" s="46">
        <v>0</v>
      </c>
      <c r="T136" s="47">
        <f t="shared" si="8"/>
        <v>936.31</v>
      </c>
    </row>
    <row r="137" spans="1:20" s="31" customFormat="1" x14ac:dyDescent="0.25">
      <c r="A137" s="25" t="s">
        <v>25</v>
      </c>
      <c r="B137" s="42"/>
      <c r="C137" s="42"/>
      <c r="D137" s="25"/>
      <c r="E137" s="25"/>
      <c r="F137" s="42" t="e">
        <f t="shared" si="9"/>
        <v>#REF!</v>
      </c>
      <c r="G137" s="42" t="e">
        <f t="shared" si="9"/>
        <v>#REF!</v>
      </c>
      <c r="H137" s="43"/>
      <c r="K137" s="31" t="str">
        <f>"""GP"",""Ute Indian Tribe Membership Fund"",""aaa_contract_detail_sp"",""JRNENTRY"",""1574675"",""aaGLHdrID"",""1742401"",""aaGLDistID"",""18"",""aaGLAssignID"",""1"",""contract"",""3420 FIA 54 UT 2025 5101"""</f>
        <v>"GP","Ute Indian Tribe Membership Fund","aaa_contract_detail_sp","JRNENTRY","1574675","aaGLHdrID","1742401","aaGLDistID","18","aaGLAssignID","1","contract","3420 FIA 54 UT 2025 5101"</v>
      </c>
      <c r="L137" s="44">
        <v>45617</v>
      </c>
      <c r="M137" s="31">
        <v>1574675</v>
      </c>
      <c r="N137" s="31" t="str">
        <f>""</f>
        <v/>
      </c>
      <c r="O137" s="31" t="str">
        <f>""</f>
        <v/>
      </c>
      <c r="P137" s="31" t="str">
        <f>""</f>
        <v/>
      </c>
      <c r="Q137" s="45" t="str">
        <f>""</f>
        <v/>
      </c>
      <c r="R137" s="46">
        <v>936.31</v>
      </c>
      <c r="S137" s="46">
        <v>0</v>
      </c>
      <c r="T137" s="47">
        <f t="shared" si="8"/>
        <v>936.31</v>
      </c>
    </row>
    <row r="138" spans="1:20" s="31" customFormat="1" x14ac:dyDescent="0.25">
      <c r="A138" s="25" t="s">
        <v>25</v>
      </c>
      <c r="B138" s="42"/>
      <c r="C138" s="42"/>
      <c r="D138" s="25"/>
      <c r="E138" s="25"/>
      <c r="F138" s="42" t="e">
        <f t="shared" si="9"/>
        <v>#REF!</v>
      </c>
      <c r="G138" s="42" t="e">
        <f t="shared" si="9"/>
        <v>#REF!</v>
      </c>
      <c r="H138" s="43"/>
      <c r="K138" s="31" t="str">
        <f>"""GP"",""Ute Indian Tribe Membership Fund"",""aaa_contract_detail_sp"",""JRNENTRY"",""1574720"",""aaGLHdrID"",""1742446"",""aaGLDistID"",""17"",""aaGLAssignID"",""1"",""contract"",""3420 FIA 54 UT 2025 5101"""</f>
        <v>"GP","Ute Indian Tribe Membership Fund","aaa_contract_detail_sp","JRNENTRY","1574720","aaGLHdrID","1742446","aaGLDistID","17","aaGLAssignID","1","contract","3420 FIA 54 UT 2025 5101"</v>
      </c>
      <c r="L138" s="44">
        <v>45617</v>
      </c>
      <c r="M138" s="31">
        <v>1574720</v>
      </c>
      <c r="N138" s="31" t="str">
        <f>""</f>
        <v/>
      </c>
      <c r="O138" s="31" t="str">
        <f>""</f>
        <v/>
      </c>
      <c r="P138" s="31" t="str">
        <f>""</f>
        <v/>
      </c>
      <c r="Q138" s="45" t="str">
        <f>""</f>
        <v/>
      </c>
      <c r="R138" s="46">
        <v>924.48</v>
      </c>
      <c r="S138" s="46">
        <v>0</v>
      </c>
      <c r="T138" s="47">
        <f t="shared" si="8"/>
        <v>924.48</v>
      </c>
    </row>
    <row r="139" spans="1:20" s="31" customFormat="1" x14ac:dyDescent="0.25">
      <c r="A139" s="25" t="s">
        <v>25</v>
      </c>
      <c r="B139" s="42"/>
      <c r="C139" s="42"/>
      <c r="D139" s="25"/>
      <c r="E139" s="25"/>
      <c r="F139" s="42" t="e">
        <f t="shared" si="9"/>
        <v>#REF!</v>
      </c>
      <c r="G139" s="42" t="e">
        <f t="shared" si="9"/>
        <v>#REF!</v>
      </c>
      <c r="H139" s="43"/>
      <c r="K139" s="31" t="str">
        <f>"""GP"",""Ute Indian Tribe Membership Fund"",""aaa_contract_detail_sp"",""JRNENTRY"",""1576499"",""aaGLHdrID"",""1744459"",""aaGLDistID"",""22"",""aaGLAssignID"",""1"",""contract"",""3420 FIA 54 UT 2025 5101"""</f>
        <v>"GP","Ute Indian Tribe Membership Fund","aaa_contract_detail_sp","JRNENTRY","1576499","aaGLHdrID","1744459","aaGLDistID","22","aaGLAssignID","1","contract","3420 FIA 54 UT 2025 5101"</v>
      </c>
      <c r="L139" s="44">
        <v>45631</v>
      </c>
      <c r="M139" s="31">
        <v>1576499</v>
      </c>
      <c r="N139" s="31" t="str">
        <f>""</f>
        <v/>
      </c>
      <c r="O139" s="31" t="str">
        <f>""</f>
        <v/>
      </c>
      <c r="P139" s="31" t="str">
        <f>""</f>
        <v/>
      </c>
      <c r="Q139" s="45" t="str">
        <f>""</f>
        <v/>
      </c>
      <c r="R139" s="46">
        <v>347.08</v>
      </c>
      <c r="S139" s="46">
        <v>0</v>
      </c>
      <c r="T139" s="47">
        <f t="shared" si="8"/>
        <v>347.08</v>
      </c>
    </row>
    <row r="140" spans="1:20" s="31" customFormat="1" x14ac:dyDescent="0.25">
      <c r="A140" s="25" t="s">
        <v>25</v>
      </c>
      <c r="B140" s="42"/>
      <c r="C140" s="42"/>
      <c r="D140" s="25"/>
      <c r="E140" s="25"/>
      <c r="F140" s="42" t="e">
        <f t="shared" si="9"/>
        <v>#REF!</v>
      </c>
      <c r="G140" s="42" t="e">
        <f t="shared" si="9"/>
        <v>#REF!</v>
      </c>
      <c r="H140" s="43"/>
      <c r="K140" s="31" t="str">
        <f>"""GP"",""Ute Indian Tribe Membership Fund"",""aaa_contract_detail_sp"",""JRNENTRY"",""1576610"",""aaGLHdrID"",""1744570"",""aaGLDistID"",""21"",""aaGLAssignID"",""1"",""contract"",""3420 FIA 54 UT 2025 5101"""</f>
        <v>"GP","Ute Indian Tribe Membership Fund","aaa_contract_detail_sp","JRNENTRY","1576610","aaGLHdrID","1744570","aaGLDistID","21","aaGLAssignID","1","contract","3420 FIA 54 UT 2025 5101"</v>
      </c>
      <c r="L140" s="44">
        <v>45631</v>
      </c>
      <c r="M140" s="31">
        <v>1576610</v>
      </c>
      <c r="N140" s="31" t="str">
        <f>""</f>
        <v/>
      </c>
      <c r="O140" s="31" t="str">
        <f>""</f>
        <v/>
      </c>
      <c r="P140" s="31" t="str">
        <f>""</f>
        <v/>
      </c>
      <c r="Q140" s="45" t="str">
        <f>""</f>
        <v/>
      </c>
      <c r="R140" s="46">
        <v>936.31</v>
      </c>
      <c r="S140" s="46">
        <v>0</v>
      </c>
      <c r="T140" s="47">
        <f t="shared" si="8"/>
        <v>936.31</v>
      </c>
    </row>
    <row r="141" spans="1:20" s="31" customFormat="1" x14ac:dyDescent="0.25">
      <c r="A141" s="25" t="s">
        <v>25</v>
      </c>
      <c r="B141" s="42"/>
      <c r="C141" s="42"/>
      <c r="D141" s="25"/>
      <c r="E141" s="25"/>
      <c r="F141" s="42" t="e">
        <f t="shared" si="9"/>
        <v>#REF!</v>
      </c>
      <c r="G141" s="42" t="e">
        <f t="shared" si="9"/>
        <v>#REF!</v>
      </c>
      <c r="H141" s="43"/>
      <c r="K141" s="31" t="str">
        <f>"""GP"",""Ute Indian Tribe Membership Fund"",""aaa_contract_detail_sp"",""JRNENTRY"",""1576624"",""aaGLHdrID"",""1744584"",""aaGLDistID"",""20"",""aaGLAssignID"",""1"",""contract"",""3420 FIA 54 UT 2025 5101"""</f>
        <v>"GP","Ute Indian Tribe Membership Fund","aaa_contract_detail_sp","JRNENTRY","1576624","aaGLHdrID","1744584","aaGLDistID","20","aaGLAssignID","1","contract","3420 FIA 54 UT 2025 5101"</v>
      </c>
      <c r="L141" s="44">
        <v>45631</v>
      </c>
      <c r="M141" s="31">
        <v>1576624</v>
      </c>
      <c r="N141" s="31" t="str">
        <f>""</f>
        <v/>
      </c>
      <c r="O141" s="31" t="str">
        <f>""</f>
        <v/>
      </c>
      <c r="P141" s="31" t="str">
        <f>""</f>
        <v/>
      </c>
      <c r="Q141" s="45" t="str">
        <f>""</f>
        <v/>
      </c>
      <c r="R141" s="46">
        <v>936.31</v>
      </c>
      <c r="S141" s="46">
        <v>0</v>
      </c>
      <c r="T141" s="47">
        <f t="shared" si="8"/>
        <v>936.31</v>
      </c>
    </row>
    <row r="142" spans="1:20" s="31" customFormat="1" x14ac:dyDescent="0.25">
      <c r="A142" s="25" t="s">
        <v>25</v>
      </c>
      <c r="B142" s="42"/>
      <c r="C142" s="42"/>
      <c r="D142" s="25"/>
      <c r="E142" s="25"/>
      <c r="F142" s="42" t="e">
        <f t="shared" si="9"/>
        <v>#REF!</v>
      </c>
      <c r="G142" s="42" t="e">
        <f t="shared" si="9"/>
        <v>#REF!</v>
      </c>
      <c r="H142" s="43"/>
      <c r="K142" s="31" t="str">
        <f>"""GP"",""Ute Indian Tribe Membership Fund"",""aaa_contract_detail_sp"",""JRNENTRY"",""1576667"",""aaGLHdrID"",""1744627"",""aaGLDistID"",""18"",""aaGLAssignID"",""1"",""contract"",""3420 FIA 54 UT 2025 5101"""</f>
        <v>"GP","Ute Indian Tribe Membership Fund","aaa_contract_detail_sp","JRNENTRY","1576667","aaGLHdrID","1744627","aaGLDistID","18","aaGLAssignID","1","contract","3420 FIA 54 UT 2025 5101"</v>
      </c>
      <c r="L142" s="44">
        <v>45631</v>
      </c>
      <c r="M142" s="31">
        <v>1576667</v>
      </c>
      <c r="N142" s="31" t="str">
        <f>""</f>
        <v/>
      </c>
      <c r="O142" s="31" t="str">
        <f>""</f>
        <v/>
      </c>
      <c r="P142" s="31" t="str">
        <f>""</f>
        <v/>
      </c>
      <c r="Q142" s="45" t="str">
        <f>""</f>
        <v/>
      </c>
      <c r="R142" s="46">
        <v>924.48</v>
      </c>
      <c r="S142" s="46">
        <v>0</v>
      </c>
      <c r="T142" s="47">
        <f t="shared" si="8"/>
        <v>924.48</v>
      </c>
    </row>
    <row r="143" spans="1:20" s="31" customFormat="1" x14ac:dyDescent="0.25">
      <c r="A143" s="25" t="s">
        <v>25</v>
      </c>
      <c r="B143" s="42"/>
      <c r="C143" s="42"/>
      <c r="D143" s="25"/>
      <c r="E143" s="25"/>
      <c r="F143" s="42" t="e">
        <f t="shared" si="9"/>
        <v>#REF!</v>
      </c>
      <c r="G143" s="42" t="e">
        <f t="shared" si="9"/>
        <v>#REF!</v>
      </c>
      <c r="H143" s="43"/>
      <c r="K143" s="31" t="str">
        <f>"""GP"",""Ute Indian Tribe Membership Fund"",""aaa_contract_detail_sp"",""JRNENTRY"",""1579589"",""aaGLHdrID"",""1747478"",""aaGLDistID"",""22"",""aaGLAssignID"",""1"",""contract"",""3420 FIA 54 UT 2025 5101"""</f>
        <v>"GP","Ute Indian Tribe Membership Fund","aaa_contract_detail_sp","JRNENTRY","1579589","aaGLHdrID","1747478","aaGLDistID","22","aaGLAssignID","1","contract","3420 FIA 54 UT 2025 5101"</v>
      </c>
      <c r="L143" s="44">
        <v>45645</v>
      </c>
      <c r="M143" s="31">
        <v>1579589</v>
      </c>
      <c r="N143" s="31" t="str">
        <f>""</f>
        <v/>
      </c>
      <c r="O143" s="31" t="str">
        <f>""</f>
        <v/>
      </c>
      <c r="P143" s="31" t="str">
        <f>""</f>
        <v/>
      </c>
      <c r="Q143" s="45" t="str">
        <f>""</f>
        <v/>
      </c>
      <c r="R143" s="46">
        <v>347.08</v>
      </c>
      <c r="S143" s="46">
        <v>0</v>
      </c>
      <c r="T143" s="47">
        <f t="shared" si="8"/>
        <v>347.08</v>
      </c>
    </row>
    <row r="144" spans="1:20" s="31" customFormat="1" x14ac:dyDescent="0.25">
      <c r="A144" s="25" t="s">
        <v>25</v>
      </c>
      <c r="B144" s="42"/>
      <c r="C144" s="42"/>
      <c r="D144" s="25"/>
      <c r="E144" s="25"/>
      <c r="F144" s="42" t="e">
        <f t="shared" si="9"/>
        <v>#REF!</v>
      </c>
      <c r="G144" s="42" t="e">
        <f t="shared" si="9"/>
        <v>#REF!</v>
      </c>
      <c r="H144" s="43"/>
      <c r="K144" s="31" t="str">
        <f>"""GP"",""Ute Indian Tribe Membership Fund"",""aaa_contract_detail_sp"",""JRNENTRY"",""1579700"",""aaGLHdrID"",""1747589"",""aaGLDistID"",""19"",""aaGLAssignID"",""1"",""contract"",""3420 FIA 54 UT 2025 5101"""</f>
        <v>"GP","Ute Indian Tribe Membership Fund","aaa_contract_detail_sp","JRNENTRY","1579700","aaGLHdrID","1747589","aaGLDistID","19","aaGLAssignID","1","contract","3420 FIA 54 UT 2025 5101"</v>
      </c>
      <c r="L144" s="44">
        <v>45645</v>
      </c>
      <c r="M144" s="31">
        <v>1579700</v>
      </c>
      <c r="N144" s="31" t="str">
        <f>""</f>
        <v/>
      </c>
      <c r="O144" s="31" t="str">
        <f>""</f>
        <v/>
      </c>
      <c r="P144" s="31" t="str">
        <f>""</f>
        <v/>
      </c>
      <c r="Q144" s="45" t="str">
        <f>""</f>
        <v/>
      </c>
      <c r="R144" s="46">
        <v>936.31</v>
      </c>
      <c r="S144" s="46">
        <v>0</v>
      </c>
      <c r="T144" s="47">
        <f t="shared" si="8"/>
        <v>936.31</v>
      </c>
    </row>
    <row r="145" spans="1:20" s="31" customFormat="1" x14ac:dyDescent="0.25">
      <c r="A145" s="25" t="s">
        <v>25</v>
      </c>
      <c r="B145" s="42"/>
      <c r="C145" s="42"/>
      <c r="D145" s="25"/>
      <c r="E145" s="25"/>
      <c r="F145" s="42" t="e">
        <f t="shared" si="9"/>
        <v>#REF!</v>
      </c>
      <c r="G145" s="42" t="e">
        <f t="shared" si="9"/>
        <v>#REF!</v>
      </c>
      <c r="H145" s="43"/>
      <c r="K145" s="31" t="str">
        <f>"""GP"",""Ute Indian Tribe Membership Fund"",""aaa_contract_detail_sp"",""JRNENTRY"",""1579713"",""aaGLHdrID"",""1747602"",""aaGLDistID"",""20"",""aaGLAssignID"",""1"",""contract"",""3420 FIA 54 UT 2025 5101"""</f>
        <v>"GP","Ute Indian Tribe Membership Fund","aaa_contract_detail_sp","JRNENTRY","1579713","aaGLHdrID","1747602","aaGLDistID","20","aaGLAssignID","1","contract","3420 FIA 54 UT 2025 5101"</v>
      </c>
      <c r="L145" s="44">
        <v>45645</v>
      </c>
      <c r="M145" s="31">
        <v>1579713</v>
      </c>
      <c r="N145" s="31" t="str">
        <f>""</f>
        <v/>
      </c>
      <c r="O145" s="31" t="str">
        <f>""</f>
        <v/>
      </c>
      <c r="P145" s="31" t="str">
        <f>""</f>
        <v/>
      </c>
      <c r="Q145" s="45" t="str">
        <f>""</f>
        <v/>
      </c>
      <c r="R145" s="46">
        <v>936.31</v>
      </c>
      <c r="S145" s="46">
        <v>0</v>
      </c>
      <c r="T145" s="47">
        <f t="shared" si="8"/>
        <v>936.31</v>
      </c>
    </row>
    <row r="146" spans="1:20" s="31" customFormat="1" x14ac:dyDescent="0.25">
      <c r="A146" s="25" t="s">
        <v>25</v>
      </c>
      <c r="B146" s="42"/>
      <c r="C146" s="42"/>
      <c r="D146" s="25"/>
      <c r="E146" s="25"/>
      <c r="F146" s="42" t="e">
        <f t="shared" si="9"/>
        <v>#REF!</v>
      </c>
      <c r="G146" s="42" t="e">
        <f t="shared" si="9"/>
        <v>#REF!</v>
      </c>
      <c r="H146" s="43"/>
      <c r="K146" s="31" t="str">
        <f>"""GP"",""Ute Indian Tribe Membership Fund"",""aaa_contract_detail_sp"",""JRNENTRY"",""1579755"",""aaGLHdrID"",""1747644"",""aaGLDistID"",""19"",""aaGLAssignID"",""1"",""contract"",""3420 FIA 54 UT 2025 5101"""</f>
        <v>"GP","Ute Indian Tribe Membership Fund","aaa_contract_detail_sp","JRNENTRY","1579755","aaGLHdrID","1747644","aaGLDistID","19","aaGLAssignID","1","contract","3420 FIA 54 UT 2025 5101"</v>
      </c>
      <c r="L146" s="44">
        <v>45645</v>
      </c>
      <c r="M146" s="31">
        <v>1579755</v>
      </c>
      <c r="N146" s="31" t="str">
        <f>""</f>
        <v/>
      </c>
      <c r="O146" s="31" t="str">
        <f>""</f>
        <v/>
      </c>
      <c r="P146" s="31" t="str">
        <f>""</f>
        <v/>
      </c>
      <c r="Q146" s="45" t="str">
        <f>""</f>
        <v/>
      </c>
      <c r="R146" s="46">
        <v>924.48</v>
      </c>
      <c r="S146" s="46">
        <v>0</v>
      </c>
      <c r="T146" s="47">
        <f t="shared" si="8"/>
        <v>924.48</v>
      </c>
    </row>
    <row r="147" spans="1:20" s="31" customFormat="1" x14ac:dyDescent="0.25">
      <c r="A147" s="25" t="s">
        <v>25</v>
      </c>
      <c r="B147" s="42"/>
      <c r="C147" s="42"/>
      <c r="D147" s="25"/>
      <c r="E147" s="25"/>
      <c r="F147" s="42" t="e">
        <f t="shared" si="9"/>
        <v>#REF!</v>
      </c>
      <c r="G147" s="42" t="e">
        <f t="shared" si="9"/>
        <v>#REF!</v>
      </c>
      <c r="H147" s="43"/>
      <c r="K147" s="31" t="str">
        <f>"""GP"",""Ute Indian Tribe Membership Fund"",""aaa_contract_detail_sp"",""JRNENTRY"",""1580661"",""aaGLHdrID"",""1748400"",""aaGLDistID"",""21"",""aaGLAssignID"",""1"",""contract"",""3420 FIA 54 UT 2025 5101"""</f>
        <v>"GP","Ute Indian Tribe Membership Fund","aaa_contract_detail_sp","JRNENTRY","1580661","aaGLHdrID","1748400","aaGLDistID","21","aaGLAssignID","1","contract","3420 FIA 54 UT 2025 5101"</v>
      </c>
      <c r="L147" s="44">
        <v>45656</v>
      </c>
      <c r="M147" s="31">
        <v>1580661</v>
      </c>
      <c r="N147" s="31" t="str">
        <f>""</f>
        <v/>
      </c>
      <c r="O147" s="31" t="str">
        <f>""</f>
        <v/>
      </c>
      <c r="P147" s="31" t="str">
        <f>""</f>
        <v/>
      </c>
      <c r="Q147" s="45" t="str">
        <f>""</f>
        <v/>
      </c>
      <c r="R147" s="46">
        <v>347.08</v>
      </c>
      <c r="S147" s="46">
        <v>0</v>
      </c>
      <c r="T147" s="47">
        <f t="shared" si="8"/>
        <v>347.08</v>
      </c>
    </row>
    <row r="148" spans="1:20" s="31" customFormat="1" x14ac:dyDescent="0.25">
      <c r="A148" s="25" t="s">
        <v>25</v>
      </c>
      <c r="B148" s="42"/>
      <c r="C148" s="42"/>
      <c r="D148" s="25"/>
      <c r="E148" s="25"/>
      <c r="F148" s="42" t="e">
        <f t="shared" si="9"/>
        <v>#REF!</v>
      </c>
      <c r="G148" s="42" t="e">
        <f t="shared" si="9"/>
        <v>#REF!</v>
      </c>
      <c r="H148" s="43"/>
      <c r="K148" s="31" t="str">
        <f>"""GP"",""Ute Indian Tribe Membership Fund"",""aaa_contract_detail_sp"",""JRNENTRY"",""1580770"",""aaGLHdrID"",""1748509"",""aaGLDistID"",""18"",""aaGLAssignID"",""1"",""contract"",""3420 FIA 54 UT 2025 5101"""</f>
        <v>"GP","Ute Indian Tribe Membership Fund","aaa_contract_detail_sp","JRNENTRY","1580770","aaGLHdrID","1748509","aaGLDistID","18","aaGLAssignID","1","contract","3420 FIA 54 UT 2025 5101"</v>
      </c>
      <c r="L148" s="44">
        <v>45656</v>
      </c>
      <c r="M148" s="31">
        <v>1580770</v>
      </c>
      <c r="N148" s="31" t="str">
        <f>""</f>
        <v/>
      </c>
      <c r="O148" s="31" t="str">
        <f>""</f>
        <v/>
      </c>
      <c r="P148" s="31" t="str">
        <f>""</f>
        <v/>
      </c>
      <c r="Q148" s="45" t="str">
        <f>""</f>
        <v/>
      </c>
      <c r="R148" s="46">
        <v>936.31</v>
      </c>
      <c r="S148" s="46">
        <v>0</v>
      </c>
      <c r="T148" s="47">
        <f t="shared" si="8"/>
        <v>936.31</v>
      </c>
    </row>
    <row r="149" spans="1:20" s="31" customFormat="1" x14ac:dyDescent="0.25">
      <c r="A149" s="25" t="s">
        <v>25</v>
      </c>
      <c r="B149" s="42"/>
      <c r="C149" s="42"/>
      <c r="D149" s="25"/>
      <c r="E149" s="25"/>
      <c r="F149" s="42" t="e">
        <f t="shared" si="9"/>
        <v>#REF!</v>
      </c>
      <c r="G149" s="42" t="e">
        <f t="shared" si="9"/>
        <v>#REF!</v>
      </c>
      <c r="H149" s="43"/>
      <c r="K149" s="31" t="str">
        <f>"""GP"",""Ute Indian Tribe Membership Fund"",""aaa_contract_detail_sp"",""JRNENTRY"",""1580783"",""aaGLHdrID"",""1748522"",""aaGLDistID"",""18"",""aaGLAssignID"",""1"",""contract"",""3420 FIA 54 UT 2025 5101"""</f>
        <v>"GP","Ute Indian Tribe Membership Fund","aaa_contract_detail_sp","JRNENTRY","1580783","aaGLHdrID","1748522","aaGLDistID","18","aaGLAssignID","1","contract","3420 FIA 54 UT 2025 5101"</v>
      </c>
      <c r="L149" s="44">
        <v>45656</v>
      </c>
      <c r="M149" s="31">
        <v>1580783</v>
      </c>
      <c r="N149" s="31" t="str">
        <f>""</f>
        <v/>
      </c>
      <c r="O149" s="31" t="str">
        <f>""</f>
        <v/>
      </c>
      <c r="P149" s="31" t="str">
        <f>""</f>
        <v/>
      </c>
      <c r="Q149" s="45" t="str">
        <f>""</f>
        <v/>
      </c>
      <c r="R149" s="46">
        <v>936.31</v>
      </c>
      <c r="S149" s="46">
        <v>0</v>
      </c>
      <c r="T149" s="47">
        <f t="shared" si="8"/>
        <v>936.31</v>
      </c>
    </row>
    <row r="150" spans="1:20" s="31" customFormat="1" x14ac:dyDescent="0.25">
      <c r="A150" s="25" t="s">
        <v>25</v>
      </c>
      <c r="B150" s="42"/>
      <c r="C150" s="42"/>
      <c r="D150" s="25"/>
      <c r="E150" s="25"/>
      <c r="F150" s="42" t="e">
        <f t="shared" si="9"/>
        <v>#REF!</v>
      </c>
      <c r="G150" s="42" t="e">
        <f t="shared" si="9"/>
        <v>#REF!</v>
      </c>
      <c r="H150" s="43"/>
      <c r="K150" s="31" t="str">
        <f>"""GP"",""Ute Indian Tribe Membership Fund"",""aaa_contract_detail_sp"",""JRNENTRY"",""1580823"",""aaGLHdrID"",""1748562"",""aaGLDistID"",""17"",""aaGLAssignID"",""1"",""contract"",""3420 FIA 54 UT 2025 5101"""</f>
        <v>"GP","Ute Indian Tribe Membership Fund","aaa_contract_detail_sp","JRNENTRY","1580823","aaGLHdrID","1748562","aaGLDistID","17","aaGLAssignID","1","contract","3420 FIA 54 UT 2025 5101"</v>
      </c>
      <c r="L150" s="44">
        <v>45656</v>
      </c>
      <c r="M150" s="31">
        <v>1580823</v>
      </c>
      <c r="N150" s="31" t="str">
        <f>""</f>
        <v/>
      </c>
      <c r="O150" s="31" t="str">
        <f>""</f>
        <v/>
      </c>
      <c r="P150" s="31" t="str">
        <f>""</f>
        <v/>
      </c>
      <c r="Q150" s="45" t="str">
        <f>""</f>
        <v/>
      </c>
      <c r="R150" s="46">
        <v>924.48</v>
      </c>
      <c r="S150" s="46">
        <v>0</v>
      </c>
      <c r="T150" s="47">
        <f t="shared" si="8"/>
        <v>924.48</v>
      </c>
    </row>
    <row r="151" spans="1:20" s="31" customFormat="1" ht="12.75" x14ac:dyDescent="0.2">
      <c r="A151" s="25" t="s">
        <v>25</v>
      </c>
      <c r="B151" s="42"/>
      <c r="C151" s="42"/>
      <c r="D151" s="25"/>
      <c r="E151" s="25"/>
      <c r="F151" s="42" t="e">
        <f>#REF!</f>
        <v>#REF!</v>
      </c>
      <c r="G151" s="42" t="e">
        <f>#REF!</f>
        <v>#REF!</v>
      </c>
      <c r="H151" s="43"/>
    </row>
    <row r="152" spans="1:20" s="31" customFormat="1" ht="12.75" x14ac:dyDescent="0.2">
      <c r="A152" s="25" t="s">
        <v>25</v>
      </c>
      <c r="B152" s="25"/>
      <c r="C152" s="25"/>
      <c r="D152" s="25"/>
      <c r="E152" s="25"/>
      <c r="F152" s="25"/>
      <c r="G152" s="25"/>
      <c r="H152" s="30"/>
      <c r="I152" s="54" t="str">
        <f>I130&amp;"   "&amp;J130&amp;"         Total:"</f>
        <v>5021-0-6115-3420   Fringe Benefits - Health and Life Insurance         Total:</v>
      </c>
      <c r="J152" s="54"/>
      <c r="K152" s="54"/>
      <c r="L152" s="54"/>
      <c r="M152" s="54"/>
      <c r="N152" s="54"/>
      <c r="O152" s="54"/>
      <c r="P152" s="54"/>
      <c r="Q152" s="54"/>
      <c r="R152" s="54"/>
      <c r="S152" s="54"/>
      <c r="T152" s="48">
        <f>SUBTOTAL(9,T131:T151)</f>
        <v>15720.899999999994</v>
      </c>
    </row>
    <row r="153" spans="1:20" s="31" customFormat="1" ht="12.75" x14ac:dyDescent="0.2">
      <c r="A153" s="25" t="s">
        <v>25</v>
      </c>
      <c r="B153" s="25"/>
      <c r="C153" s="25"/>
      <c r="D153" s="25"/>
      <c r="E153" s="25"/>
      <c r="F153" s="25"/>
      <c r="G153" s="25"/>
      <c r="H153" s="30"/>
    </row>
    <row r="154" spans="1:20" s="31" customFormat="1" ht="12.75" x14ac:dyDescent="0.2">
      <c r="A154" s="25" t="s">
        <v>25</v>
      </c>
      <c r="B154" s="25"/>
      <c r="C154" s="25"/>
      <c r="D154" s="25"/>
      <c r="E154" s="25"/>
      <c r="F154" s="25"/>
      <c r="G154" s="25"/>
      <c r="H154" s="30"/>
    </row>
    <row r="155" spans="1:20" s="31" customFormat="1" ht="12.75" x14ac:dyDescent="0.2">
      <c r="A155" s="25" t="s">
        <v>25</v>
      </c>
      <c r="B155" s="25"/>
      <c r="C155" s="25"/>
      <c r="D155" s="25"/>
      <c r="E155" s="25"/>
      <c r="F155" s="25" t="str">
        <f>"5021-0-6120-3420"</f>
        <v>5021-0-6120-3420</v>
      </c>
      <c r="G155" s="25" t="str">
        <f>"5021-0-6120-3420"</f>
        <v>5021-0-6120-3420</v>
      </c>
      <c r="H155" s="30"/>
      <c r="I155" s="40" t="str">
        <f>G155</f>
        <v>5021-0-6120-3420</v>
      </c>
      <c r="J155" s="40" t="str">
        <f>"Fringe Benefits - Retirement"</f>
        <v>Fringe Benefits - Retirement</v>
      </c>
      <c r="Q155" s="40"/>
      <c r="R155" s="41"/>
    </row>
    <row r="156" spans="1:20" s="31" customFormat="1" x14ac:dyDescent="0.25">
      <c r="A156" s="25" t="s">
        <v>25</v>
      </c>
      <c r="B156" s="42"/>
      <c r="C156" s="42"/>
      <c r="D156" s="25"/>
      <c r="E156" s="25"/>
      <c r="F156" s="42" t="e">
        <f>#REF!</f>
        <v>#REF!</v>
      </c>
      <c r="G156" s="42" t="e">
        <f>#REF!</f>
        <v>#REF!</v>
      </c>
      <c r="H156" s="43"/>
      <c r="K156" s="31" t="str">
        <f>"""GP"",""Ute Indian Tribe Membership Fund"",""aaa_contract_detail_sp"",""JRNENTRY"",""1570971"",""aaGLHdrID"",""1739104"",""aaGLDistID"",""22"",""aaGLAssignID"",""1"",""contract"",""3420 FIA 54 UT 2025 5101"""</f>
        <v>"GP","Ute Indian Tribe Membership Fund","aaa_contract_detail_sp","JRNENTRY","1570971","aaGLHdrID","1739104","aaGLDistID","22","aaGLAssignID","1","contract","3420 FIA 54 UT 2025 5101"</v>
      </c>
      <c r="L156" s="44">
        <v>45603</v>
      </c>
      <c r="M156" s="31">
        <v>1570971</v>
      </c>
      <c r="N156" s="31" t="str">
        <f>""</f>
        <v/>
      </c>
      <c r="O156" s="31" t="str">
        <f>""</f>
        <v/>
      </c>
      <c r="P156" s="31" t="str">
        <f>""</f>
        <v/>
      </c>
      <c r="Q156" s="45" t="str">
        <f>""</f>
        <v/>
      </c>
      <c r="R156" s="46">
        <v>152.22</v>
      </c>
      <c r="S156" s="46">
        <v>0</v>
      </c>
      <c r="T156" s="47">
        <f t="shared" ref="T156:T175" si="10">SUM(R156:S156)</f>
        <v>152.22</v>
      </c>
    </row>
    <row r="157" spans="1:20" s="31" customFormat="1" x14ac:dyDescent="0.25">
      <c r="A157" s="25" t="s">
        <v>25</v>
      </c>
      <c r="B157" s="42"/>
      <c r="C157" s="42"/>
      <c r="D157" s="25"/>
      <c r="E157" s="25"/>
      <c r="F157" s="42" t="e">
        <f t="shared" ref="F157:G175" si="11">F156</f>
        <v>#REF!</v>
      </c>
      <c r="G157" s="42" t="e">
        <f t="shared" si="11"/>
        <v>#REF!</v>
      </c>
      <c r="H157" s="43"/>
      <c r="K157" s="31" t="str">
        <f>"""GP"",""Ute Indian Tribe Membership Fund"",""aaa_contract_detail_sp"",""JRNENTRY"",""1571082"",""aaGLHdrID"",""1739215"",""aaGLDistID"",""20"",""aaGLAssignID"",""1"",""contract"",""3420 FIA 54 UT 2025 5101"""</f>
        <v>"GP","Ute Indian Tribe Membership Fund","aaa_contract_detail_sp","JRNENTRY","1571082","aaGLHdrID","1739215","aaGLDistID","20","aaGLAssignID","1","contract","3420 FIA 54 UT 2025 5101"</v>
      </c>
      <c r="L157" s="44">
        <v>45603</v>
      </c>
      <c r="M157" s="31">
        <v>1571082</v>
      </c>
      <c r="N157" s="31" t="str">
        <f>""</f>
        <v/>
      </c>
      <c r="O157" s="31" t="str">
        <f>""</f>
        <v/>
      </c>
      <c r="P157" s="31" t="str">
        <f>""</f>
        <v/>
      </c>
      <c r="Q157" s="45" t="str">
        <f>""</f>
        <v/>
      </c>
      <c r="R157" s="46">
        <v>122.08</v>
      </c>
      <c r="S157" s="46">
        <v>0</v>
      </c>
      <c r="T157" s="47">
        <f t="shared" si="10"/>
        <v>122.08</v>
      </c>
    </row>
    <row r="158" spans="1:20" s="31" customFormat="1" x14ac:dyDescent="0.25">
      <c r="A158" s="25" t="s">
        <v>25</v>
      </c>
      <c r="B158" s="42"/>
      <c r="C158" s="42"/>
      <c r="D158" s="25"/>
      <c r="E158" s="25"/>
      <c r="F158" s="42" t="e">
        <f t="shared" si="11"/>
        <v>#REF!</v>
      </c>
      <c r="G158" s="42" t="e">
        <f t="shared" si="11"/>
        <v>#REF!</v>
      </c>
      <c r="H158" s="43"/>
      <c r="K158" s="31" t="str">
        <f>"""GP"",""Ute Indian Tribe Membership Fund"",""aaa_contract_detail_sp"",""JRNENTRY"",""1571096"",""aaGLHdrID"",""1739229"",""aaGLDistID"",""19"",""aaGLAssignID"",""1"",""contract"",""3420 FIA 54 UT 2025 5101"""</f>
        <v>"GP","Ute Indian Tribe Membership Fund","aaa_contract_detail_sp","JRNENTRY","1571096","aaGLHdrID","1739229","aaGLDistID","19","aaGLAssignID","1","contract","3420 FIA 54 UT 2025 5101"</v>
      </c>
      <c r="L158" s="44">
        <v>45603</v>
      </c>
      <c r="M158" s="31">
        <v>1571096</v>
      </c>
      <c r="N158" s="31" t="str">
        <f>""</f>
        <v/>
      </c>
      <c r="O158" s="31" t="str">
        <f>""</f>
        <v/>
      </c>
      <c r="P158" s="31" t="str">
        <f>""</f>
        <v/>
      </c>
      <c r="Q158" s="45" t="str">
        <f>""</f>
        <v/>
      </c>
      <c r="R158" s="46">
        <v>135.78</v>
      </c>
      <c r="S158" s="46">
        <v>0</v>
      </c>
      <c r="T158" s="47">
        <f t="shared" si="10"/>
        <v>135.78</v>
      </c>
    </row>
    <row r="159" spans="1:20" s="31" customFormat="1" x14ac:dyDescent="0.25">
      <c r="A159" s="25" t="s">
        <v>25</v>
      </c>
      <c r="B159" s="42"/>
      <c r="C159" s="42"/>
      <c r="D159" s="25"/>
      <c r="E159" s="25"/>
      <c r="F159" s="42" t="e">
        <f t="shared" si="11"/>
        <v>#REF!</v>
      </c>
      <c r="G159" s="42" t="e">
        <f t="shared" si="11"/>
        <v>#REF!</v>
      </c>
      <c r="H159" s="43"/>
      <c r="K159" s="31" t="str">
        <f>"""GP"",""Ute Indian Tribe Membership Fund"",""aaa_contract_detail_sp"",""JRNENTRY"",""1571141"",""aaGLHdrID"",""1739274"",""aaGLDistID"",""18"",""aaGLAssignID"",""1"",""contract"",""3420 FIA 54 UT 2025 5101"""</f>
        <v>"GP","Ute Indian Tribe Membership Fund","aaa_contract_detail_sp","JRNENTRY","1571141","aaGLHdrID","1739274","aaGLDistID","18","aaGLAssignID","1","contract","3420 FIA 54 UT 2025 5101"</v>
      </c>
      <c r="L159" s="44">
        <v>45603</v>
      </c>
      <c r="M159" s="31">
        <v>1571141</v>
      </c>
      <c r="N159" s="31" t="str">
        <f>""</f>
        <v/>
      </c>
      <c r="O159" s="31" t="str">
        <f>""</f>
        <v/>
      </c>
      <c r="P159" s="31" t="str">
        <f>""</f>
        <v/>
      </c>
      <c r="Q159" s="45" t="str">
        <f>""</f>
        <v/>
      </c>
      <c r="R159" s="46">
        <v>154.72</v>
      </c>
      <c r="S159" s="46">
        <v>0</v>
      </c>
      <c r="T159" s="47">
        <f t="shared" si="10"/>
        <v>154.72</v>
      </c>
    </row>
    <row r="160" spans="1:20" s="31" customFormat="1" x14ac:dyDescent="0.25">
      <c r="A160" s="25" t="s">
        <v>25</v>
      </c>
      <c r="B160" s="42"/>
      <c r="C160" s="42"/>
      <c r="D160" s="25"/>
      <c r="E160" s="25"/>
      <c r="F160" s="42" t="e">
        <f t="shared" si="11"/>
        <v>#REF!</v>
      </c>
      <c r="G160" s="42" t="e">
        <f t="shared" si="11"/>
        <v>#REF!</v>
      </c>
      <c r="H160" s="43"/>
      <c r="K160" s="31" t="str">
        <f>"""GP"",""Ute Indian Tribe Membership Fund"",""aaa_contract_detail_sp"",""JRNENTRY"",""1574551"",""aaGLHdrID"",""1742277"",""aaGLDistID"",""21"",""aaGLAssignID"",""1"",""contract"",""3420 FIA 54 UT 2025 5101"""</f>
        <v>"GP","Ute Indian Tribe Membership Fund","aaa_contract_detail_sp","JRNENTRY","1574551","aaGLHdrID","1742277","aaGLDistID","21","aaGLAssignID","1","contract","3420 FIA 54 UT 2025 5101"</v>
      </c>
      <c r="L160" s="44">
        <v>45617</v>
      </c>
      <c r="M160" s="31">
        <v>1574551</v>
      </c>
      <c r="N160" s="31" t="str">
        <f>""</f>
        <v/>
      </c>
      <c r="O160" s="31" t="str">
        <f>""</f>
        <v/>
      </c>
      <c r="P160" s="31" t="str">
        <f>""</f>
        <v/>
      </c>
      <c r="Q160" s="45" t="str">
        <f>""</f>
        <v/>
      </c>
      <c r="R160" s="46">
        <v>135.78</v>
      </c>
      <c r="S160" s="46">
        <v>0</v>
      </c>
      <c r="T160" s="47">
        <f t="shared" si="10"/>
        <v>135.78</v>
      </c>
    </row>
    <row r="161" spans="1:20" s="31" customFormat="1" x14ac:dyDescent="0.25">
      <c r="A161" s="25" t="s">
        <v>25</v>
      </c>
      <c r="B161" s="42"/>
      <c r="C161" s="42"/>
      <c r="D161" s="25"/>
      <c r="E161" s="25"/>
      <c r="F161" s="42" t="e">
        <f t="shared" si="11"/>
        <v>#REF!</v>
      </c>
      <c r="G161" s="42" t="e">
        <f t="shared" si="11"/>
        <v>#REF!</v>
      </c>
      <c r="H161" s="43"/>
      <c r="K161" s="31" t="str">
        <f>"""GP"",""Ute Indian Tribe Membership Fund"",""aaa_contract_detail_sp"",""JRNENTRY"",""1574661"",""aaGLHdrID"",""1742387"",""aaGLDistID"",""19"",""aaGLAssignID"",""1"",""contract"",""3420 FIA 54 UT 2025 5101"""</f>
        <v>"GP","Ute Indian Tribe Membership Fund","aaa_contract_detail_sp","JRNENTRY","1574661","aaGLHdrID","1742387","aaGLDistID","19","aaGLAssignID","1","contract","3420 FIA 54 UT 2025 5101"</v>
      </c>
      <c r="L161" s="44">
        <v>45617</v>
      </c>
      <c r="M161" s="31">
        <v>1574661</v>
      </c>
      <c r="N161" s="31" t="str">
        <f>""</f>
        <v/>
      </c>
      <c r="O161" s="31" t="str">
        <f>""</f>
        <v/>
      </c>
      <c r="P161" s="31" t="str">
        <f>""</f>
        <v/>
      </c>
      <c r="Q161" s="45" t="str">
        <f>""</f>
        <v/>
      </c>
      <c r="R161" s="46">
        <v>122.08</v>
      </c>
      <c r="S161" s="46">
        <v>0</v>
      </c>
      <c r="T161" s="47">
        <f t="shared" si="10"/>
        <v>122.08</v>
      </c>
    </row>
    <row r="162" spans="1:20" s="31" customFormat="1" x14ac:dyDescent="0.25">
      <c r="A162" s="25" t="s">
        <v>25</v>
      </c>
      <c r="B162" s="42"/>
      <c r="C162" s="42"/>
      <c r="D162" s="25"/>
      <c r="E162" s="25"/>
      <c r="F162" s="42" t="e">
        <f t="shared" si="11"/>
        <v>#REF!</v>
      </c>
      <c r="G162" s="42" t="e">
        <f t="shared" si="11"/>
        <v>#REF!</v>
      </c>
      <c r="H162" s="43"/>
      <c r="K162" s="31" t="str">
        <f>"""GP"",""Ute Indian Tribe Membership Fund"",""aaa_contract_detail_sp"",""JRNENTRY"",""1574675"",""aaGLHdrID"",""1742401"",""aaGLDistID"",""19"",""aaGLAssignID"",""1"",""contract"",""3420 FIA 54 UT 2025 5101"""</f>
        <v>"GP","Ute Indian Tribe Membership Fund","aaa_contract_detail_sp","JRNENTRY","1574675","aaGLHdrID","1742401","aaGLDistID","19","aaGLAssignID","1","contract","3420 FIA 54 UT 2025 5101"</v>
      </c>
      <c r="L162" s="44">
        <v>45617</v>
      </c>
      <c r="M162" s="31">
        <v>1574675</v>
      </c>
      <c r="N162" s="31" t="str">
        <f>""</f>
        <v/>
      </c>
      <c r="O162" s="31" t="str">
        <f>""</f>
        <v/>
      </c>
      <c r="P162" s="31" t="str">
        <f>""</f>
        <v/>
      </c>
      <c r="Q162" s="45" t="str">
        <f>""</f>
        <v/>
      </c>
      <c r="R162" s="46">
        <v>135.78</v>
      </c>
      <c r="S162" s="46">
        <v>0</v>
      </c>
      <c r="T162" s="47">
        <f t="shared" si="10"/>
        <v>135.78</v>
      </c>
    </row>
    <row r="163" spans="1:20" s="31" customFormat="1" x14ac:dyDescent="0.25">
      <c r="A163" s="25" t="s">
        <v>25</v>
      </c>
      <c r="B163" s="42"/>
      <c r="C163" s="42"/>
      <c r="D163" s="25"/>
      <c r="E163" s="25"/>
      <c r="F163" s="42" t="e">
        <f t="shared" si="11"/>
        <v>#REF!</v>
      </c>
      <c r="G163" s="42" t="e">
        <f t="shared" si="11"/>
        <v>#REF!</v>
      </c>
      <c r="H163" s="43"/>
      <c r="K163" s="31" t="str">
        <f>"""GP"",""Ute Indian Tribe Membership Fund"",""aaa_contract_detail_sp"",""JRNENTRY"",""1574720"",""aaGLHdrID"",""1742446"",""aaGLDistID"",""18"",""aaGLAssignID"",""1"",""contract"",""3420 FIA 54 UT 2025 5101"""</f>
        <v>"GP","Ute Indian Tribe Membership Fund","aaa_contract_detail_sp","JRNENTRY","1574720","aaGLHdrID","1742446","aaGLDistID","18","aaGLAssignID","1","contract","3420 FIA 54 UT 2025 5101"</v>
      </c>
      <c r="L163" s="44">
        <v>45617</v>
      </c>
      <c r="M163" s="31">
        <v>1574720</v>
      </c>
      <c r="N163" s="31" t="str">
        <f>""</f>
        <v/>
      </c>
      <c r="O163" s="31" t="str">
        <f>""</f>
        <v/>
      </c>
      <c r="P163" s="31" t="str">
        <f>""</f>
        <v/>
      </c>
      <c r="Q163" s="45" t="str">
        <f>""</f>
        <v/>
      </c>
      <c r="R163" s="46">
        <v>154.72</v>
      </c>
      <c r="S163" s="46">
        <v>0</v>
      </c>
      <c r="T163" s="47">
        <f t="shared" si="10"/>
        <v>154.72</v>
      </c>
    </row>
    <row r="164" spans="1:20" s="31" customFormat="1" x14ac:dyDescent="0.25">
      <c r="A164" s="25" t="s">
        <v>25</v>
      </c>
      <c r="B164" s="42"/>
      <c r="C164" s="42"/>
      <c r="D164" s="25"/>
      <c r="E164" s="25"/>
      <c r="F164" s="42" t="e">
        <f t="shared" si="11"/>
        <v>#REF!</v>
      </c>
      <c r="G164" s="42" t="e">
        <f t="shared" si="11"/>
        <v>#REF!</v>
      </c>
      <c r="H164" s="43"/>
      <c r="K164" s="31" t="str">
        <f>"""GP"",""Ute Indian Tribe Membership Fund"",""aaa_contract_detail_sp"",""JRNENTRY"",""1576499"",""aaGLHdrID"",""1744459"",""aaGLDistID"",""23"",""aaGLAssignID"",""1"",""contract"",""3420 FIA 54 UT 2025 5101"""</f>
        <v>"GP","Ute Indian Tribe Membership Fund","aaa_contract_detail_sp","JRNENTRY","1576499","aaGLHdrID","1744459","aaGLDistID","23","aaGLAssignID","1","contract","3420 FIA 54 UT 2025 5101"</v>
      </c>
      <c r="L164" s="44">
        <v>45631</v>
      </c>
      <c r="M164" s="31">
        <v>1576499</v>
      </c>
      <c r="N164" s="31" t="str">
        <f>""</f>
        <v/>
      </c>
      <c r="O164" s="31" t="str">
        <f>""</f>
        <v/>
      </c>
      <c r="P164" s="31" t="str">
        <f>""</f>
        <v/>
      </c>
      <c r="Q164" s="45" t="str">
        <f>""</f>
        <v/>
      </c>
      <c r="R164" s="46">
        <v>185.78</v>
      </c>
      <c r="S164" s="46">
        <v>0</v>
      </c>
      <c r="T164" s="47">
        <f t="shared" si="10"/>
        <v>185.78</v>
      </c>
    </row>
    <row r="165" spans="1:20" s="31" customFormat="1" x14ac:dyDescent="0.25">
      <c r="A165" s="25" t="s">
        <v>25</v>
      </c>
      <c r="B165" s="42"/>
      <c r="C165" s="42"/>
      <c r="D165" s="25"/>
      <c r="E165" s="25"/>
      <c r="F165" s="42" t="e">
        <f t="shared" si="11"/>
        <v>#REF!</v>
      </c>
      <c r="G165" s="42" t="e">
        <f t="shared" si="11"/>
        <v>#REF!</v>
      </c>
      <c r="H165" s="43"/>
      <c r="K165" s="31" t="str">
        <f>"""GP"",""Ute Indian Tribe Membership Fund"",""aaa_contract_detail_sp"",""JRNENTRY"",""1576610"",""aaGLHdrID"",""1744570"",""aaGLDistID"",""22"",""aaGLAssignID"",""1"",""contract"",""3420 FIA 54 UT 2025 5101"""</f>
        <v>"GP","Ute Indian Tribe Membership Fund","aaa_contract_detail_sp","JRNENTRY","1576610","aaGLHdrID","1744570","aaGLDistID","22","aaGLAssignID","1","contract","3420 FIA 54 UT 2025 5101"</v>
      </c>
      <c r="L165" s="44">
        <v>45631</v>
      </c>
      <c r="M165" s="31">
        <v>1576610</v>
      </c>
      <c r="N165" s="31" t="str">
        <f>""</f>
        <v/>
      </c>
      <c r="O165" s="31" t="str">
        <f>""</f>
        <v/>
      </c>
      <c r="P165" s="31" t="str">
        <f>""</f>
        <v/>
      </c>
      <c r="Q165" s="45" t="str">
        <f>""</f>
        <v/>
      </c>
      <c r="R165" s="46">
        <v>182.2</v>
      </c>
      <c r="S165" s="46">
        <v>0</v>
      </c>
      <c r="T165" s="47">
        <f t="shared" si="10"/>
        <v>182.2</v>
      </c>
    </row>
    <row r="166" spans="1:20" s="31" customFormat="1" x14ac:dyDescent="0.25">
      <c r="A166" s="25" t="s">
        <v>25</v>
      </c>
      <c r="B166" s="42"/>
      <c r="C166" s="42"/>
      <c r="D166" s="25"/>
      <c r="E166" s="25"/>
      <c r="F166" s="42" t="e">
        <f t="shared" si="11"/>
        <v>#REF!</v>
      </c>
      <c r="G166" s="42" t="e">
        <f t="shared" si="11"/>
        <v>#REF!</v>
      </c>
      <c r="H166" s="43"/>
      <c r="K166" s="31" t="str">
        <f>"""GP"",""Ute Indian Tribe Membership Fund"",""aaa_contract_detail_sp"",""JRNENTRY"",""1576624"",""aaGLHdrID"",""1744584"",""aaGLDistID"",""21"",""aaGLAssignID"",""1"",""contract"",""3420 FIA 54 UT 2025 5101"""</f>
        <v>"GP","Ute Indian Tribe Membership Fund","aaa_contract_detail_sp","JRNENTRY","1576624","aaGLHdrID","1744584","aaGLDistID","21","aaGLAssignID","1","contract","3420 FIA 54 UT 2025 5101"</v>
      </c>
      <c r="L166" s="44">
        <v>45631</v>
      </c>
      <c r="M166" s="31">
        <v>1576624</v>
      </c>
      <c r="N166" s="31" t="str">
        <f>""</f>
        <v/>
      </c>
      <c r="O166" s="31" t="str">
        <f>""</f>
        <v/>
      </c>
      <c r="P166" s="31" t="str">
        <f>""</f>
        <v/>
      </c>
      <c r="Q166" s="45" t="str">
        <f>""</f>
        <v/>
      </c>
      <c r="R166" s="46">
        <v>185.78</v>
      </c>
      <c r="S166" s="46">
        <v>0</v>
      </c>
      <c r="T166" s="47">
        <f t="shared" si="10"/>
        <v>185.78</v>
      </c>
    </row>
    <row r="167" spans="1:20" s="31" customFormat="1" x14ac:dyDescent="0.25">
      <c r="A167" s="25" t="s">
        <v>25</v>
      </c>
      <c r="B167" s="42"/>
      <c r="C167" s="42"/>
      <c r="D167" s="25"/>
      <c r="E167" s="25"/>
      <c r="F167" s="42" t="e">
        <f t="shared" si="11"/>
        <v>#REF!</v>
      </c>
      <c r="G167" s="42" t="e">
        <f t="shared" si="11"/>
        <v>#REF!</v>
      </c>
      <c r="H167" s="43"/>
      <c r="K167" s="31" t="str">
        <f>"""GP"",""Ute Indian Tribe Membership Fund"",""aaa_contract_detail_sp"",""JRNENTRY"",""1576667"",""aaGLHdrID"",""1744627"",""aaGLDistID"",""19"",""aaGLAssignID"",""1"",""contract"",""3420 FIA 54 UT 2025 5101"""</f>
        <v>"GP","Ute Indian Tribe Membership Fund","aaa_contract_detail_sp","JRNENTRY","1576667","aaGLHdrID","1744627","aaGLDistID","19","aaGLAssignID","1","contract","3420 FIA 54 UT 2025 5101"</v>
      </c>
      <c r="L167" s="44">
        <v>45631</v>
      </c>
      <c r="M167" s="31">
        <v>1576667</v>
      </c>
      <c r="N167" s="31" t="str">
        <f>""</f>
        <v/>
      </c>
      <c r="O167" s="31" t="str">
        <f>""</f>
        <v/>
      </c>
      <c r="P167" s="31" t="str">
        <f>""</f>
        <v/>
      </c>
      <c r="Q167" s="45" t="str">
        <f>""</f>
        <v/>
      </c>
      <c r="R167" s="46">
        <v>204.72</v>
      </c>
      <c r="S167" s="46">
        <v>0</v>
      </c>
      <c r="T167" s="47">
        <f t="shared" si="10"/>
        <v>204.72</v>
      </c>
    </row>
    <row r="168" spans="1:20" s="31" customFormat="1" x14ac:dyDescent="0.25">
      <c r="A168" s="25" t="s">
        <v>25</v>
      </c>
      <c r="B168" s="42"/>
      <c r="C168" s="42"/>
      <c r="D168" s="25"/>
      <c r="E168" s="25"/>
      <c r="F168" s="42" t="e">
        <f t="shared" si="11"/>
        <v>#REF!</v>
      </c>
      <c r="G168" s="42" t="e">
        <f t="shared" si="11"/>
        <v>#REF!</v>
      </c>
      <c r="H168" s="43"/>
      <c r="K168" s="31" t="str">
        <f>"""GP"",""Ute Indian Tribe Membership Fund"",""aaa_contract_detail_sp"",""JRNENTRY"",""1579589"",""aaGLHdrID"",""1747478"",""aaGLDistID"",""23"",""aaGLAssignID"",""1"",""contract"",""3420 FIA 54 UT 2025 5101"""</f>
        <v>"GP","Ute Indian Tribe Membership Fund","aaa_contract_detail_sp","JRNENTRY","1579589","aaGLHdrID","1747478","aaGLDistID","23","aaGLAssignID","1","contract","3420 FIA 54 UT 2025 5101"</v>
      </c>
      <c r="L168" s="44">
        <v>45645</v>
      </c>
      <c r="M168" s="31">
        <v>1579589</v>
      </c>
      <c r="N168" s="31" t="str">
        <f>""</f>
        <v/>
      </c>
      <c r="O168" s="31" t="str">
        <f>""</f>
        <v/>
      </c>
      <c r="P168" s="31" t="str">
        <f>""</f>
        <v/>
      </c>
      <c r="Q168" s="45" t="str">
        <f>""</f>
        <v/>
      </c>
      <c r="R168" s="46">
        <v>189.34</v>
      </c>
      <c r="S168" s="46">
        <v>0</v>
      </c>
      <c r="T168" s="47">
        <f t="shared" si="10"/>
        <v>189.34</v>
      </c>
    </row>
    <row r="169" spans="1:20" s="31" customFormat="1" x14ac:dyDescent="0.25">
      <c r="A169" s="25" t="s">
        <v>25</v>
      </c>
      <c r="B169" s="42"/>
      <c r="C169" s="42"/>
      <c r="D169" s="25"/>
      <c r="E169" s="25"/>
      <c r="F169" s="42" t="e">
        <f t="shared" si="11"/>
        <v>#REF!</v>
      </c>
      <c r="G169" s="42" t="e">
        <f t="shared" si="11"/>
        <v>#REF!</v>
      </c>
      <c r="H169" s="43"/>
      <c r="K169" s="31" t="str">
        <f>"""GP"",""Ute Indian Tribe Membership Fund"",""aaa_contract_detail_sp"",""JRNENTRY"",""1579700"",""aaGLHdrID"",""1747589"",""aaGLDistID"",""20"",""aaGLAssignID"",""1"",""contract"",""3420 FIA 54 UT 2025 5101"""</f>
        <v>"GP","Ute Indian Tribe Membership Fund","aaa_contract_detail_sp","JRNENTRY","1579700","aaGLHdrID","1747589","aaGLDistID","20","aaGLAssignID","1","contract","3420 FIA 54 UT 2025 5101"</v>
      </c>
      <c r="L169" s="44">
        <v>45645</v>
      </c>
      <c r="M169" s="31">
        <v>1579700</v>
      </c>
      <c r="N169" s="31" t="str">
        <f>""</f>
        <v/>
      </c>
      <c r="O169" s="31" t="str">
        <f>""</f>
        <v/>
      </c>
      <c r="P169" s="31" t="str">
        <f>""</f>
        <v/>
      </c>
      <c r="Q169" s="45" t="str">
        <f>""</f>
        <v/>
      </c>
      <c r="R169" s="46">
        <v>151.78</v>
      </c>
      <c r="S169" s="46">
        <v>0</v>
      </c>
      <c r="T169" s="47">
        <f t="shared" si="10"/>
        <v>151.78</v>
      </c>
    </row>
    <row r="170" spans="1:20" s="31" customFormat="1" x14ac:dyDescent="0.25">
      <c r="A170" s="25" t="s">
        <v>25</v>
      </c>
      <c r="B170" s="42"/>
      <c r="C170" s="42"/>
      <c r="D170" s="25"/>
      <c r="E170" s="25"/>
      <c r="F170" s="42" t="e">
        <f t="shared" si="11"/>
        <v>#REF!</v>
      </c>
      <c r="G170" s="42" t="e">
        <f t="shared" si="11"/>
        <v>#REF!</v>
      </c>
      <c r="H170" s="43"/>
      <c r="K170" s="31" t="str">
        <f>"""GP"",""Ute Indian Tribe Membership Fund"",""aaa_contract_detail_sp"",""JRNENTRY"",""1579713"",""aaGLHdrID"",""1747602"",""aaGLDistID"",""21"",""aaGLAssignID"",""1"",""contract"",""3420 FIA 54 UT 2025 5101"""</f>
        <v>"GP","Ute Indian Tribe Membership Fund","aaa_contract_detail_sp","JRNENTRY","1579713","aaGLHdrID","1747602","aaGLDistID","21","aaGLAssignID","1","contract","3420 FIA 54 UT 2025 5101"</v>
      </c>
      <c r="L170" s="44">
        <v>45645</v>
      </c>
      <c r="M170" s="31">
        <v>1579713</v>
      </c>
      <c r="N170" s="31" t="str">
        <f>""</f>
        <v/>
      </c>
      <c r="O170" s="31" t="str">
        <f>""</f>
        <v/>
      </c>
      <c r="P170" s="31" t="str">
        <f>""</f>
        <v/>
      </c>
      <c r="Q170" s="45" t="str">
        <f>""</f>
        <v/>
      </c>
      <c r="R170" s="46">
        <v>189.34</v>
      </c>
      <c r="S170" s="46">
        <v>0</v>
      </c>
      <c r="T170" s="47">
        <f t="shared" si="10"/>
        <v>189.34</v>
      </c>
    </row>
    <row r="171" spans="1:20" s="31" customFormat="1" x14ac:dyDescent="0.25">
      <c r="A171" s="25" t="s">
        <v>25</v>
      </c>
      <c r="B171" s="42"/>
      <c r="C171" s="42"/>
      <c r="D171" s="25"/>
      <c r="E171" s="25"/>
      <c r="F171" s="42" t="e">
        <f t="shared" si="11"/>
        <v>#REF!</v>
      </c>
      <c r="G171" s="42" t="e">
        <f t="shared" si="11"/>
        <v>#REF!</v>
      </c>
      <c r="H171" s="43"/>
      <c r="K171" s="31" t="str">
        <f>"""GP"",""Ute Indian Tribe Membership Fund"",""aaa_contract_detail_sp"",""JRNENTRY"",""1579755"",""aaGLHdrID"",""1747644"",""aaGLDistID"",""20"",""aaGLAssignID"",""1"",""contract"",""3420 FIA 54 UT 2025 5101"""</f>
        <v>"GP","Ute Indian Tribe Membership Fund","aaa_contract_detail_sp","JRNENTRY","1579755","aaGLHdrID","1747644","aaGLDistID","20","aaGLAssignID","1","contract","3420 FIA 54 UT 2025 5101"</v>
      </c>
      <c r="L171" s="44">
        <v>45645</v>
      </c>
      <c r="M171" s="31">
        <v>1579755</v>
      </c>
      <c r="N171" s="31" t="str">
        <f>""</f>
        <v/>
      </c>
      <c r="O171" s="31" t="str">
        <f>""</f>
        <v/>
      </c>
      <c r="P171" s="31" t="str">
        <f>""</f>
        <v/>
      </c>
      <c r="Q171" s="45" t="str">
        <f>""</f>
        <v/>
      </c>
      <c r="R171" s="46">
        <v>262.14</v>
      </c>
      <c r="S171" s="46">
        <v>0</v>
      </c>
      <c r="T171" s="47">
        <f t="shared" si="10"/>
        <v>262.14</v>
      </c>
    </row>
    <row r="172" spans="1:20" s="31" customFormat="1" x14ac:dyDescent="0.25">
      <c r="A172" s="25" t="s">
        <v>25</v>
      </c>
      <c r="B172" s="42"/>
      <c r="C172" s="42"/>
      <c r="D172" s="25"/>
      <c r="E172" s="25"/>
      <c r="F172" s="42" t="e">
        <f t="shared" si="11"/>
        <v>#REF!</v>
      </c>
      <c r="G172" s="42" t="e">
        <f t="shared" si="11"/>
        <v>#REF!</v>
      </c>
      <c r="H172" s="43"/>
      <c r="K172" s="31" t="str">
        <f>"""GP"",""Ute Indian Tribe Membership Fund"",""aaa_contract_detail_sp"",""JRNENTRY"",""1580661"",""aaGLHdrID"",""1748400"",""aaGLDistID"",""22"",""aaGLAssignID"",""1"",""contract"",""3420 FIA 54 UT 2025 5101"""</f>
        <v>"GP","Ute Indian Tribe Membership Fund","aaa_contract_detail_sp","JRNENTRY","1580661","aaGLHdrID","1748400","aaGLDistID","22","aaGLAssignID","1","contract","3420 FIA 54 UT 2025 5101"</v>
      </c>
      <c r="L172" s="44">
        <v>45656</v>
      </c>
      <c r="M172" s="31">
        <v>1580661</v>
      </c>
      <c r="N172" s="31" t="str">
        <f>""</f>
        <v/>
      </c>
      <c r="O172" s="31" t="str">
        <f>""</f>
        <v/>
      </c>
      <c r="P172" s="31" t="str">
        <f>""</f>
        <v/>
      </c>
      <c r="Q172" s="45" t="str">
        <f>""</f>
        <v/>
      </c>
      <c r="R172" s="46">
        <v>151.22</v>
      </c>
      <c r="S172" s="46">
        <v>0</v>
      </c>
      <c r="T172" s="47">
        <f t="shared" si="10"/>
        <v>151.22</v>
      </c>
    </row>
    <row r="173" spans="1:20" s="31" customFormat="1" x14ac:dyDescent="0.25">
      <c r="A173" s="25" t="s">
        <v>25</v>
      </c>
      <c r="B173" s="42"/>
      <c r="C173" s="42"/>
      <c r="D173" s="25"/>
      <c r="E173" s="25"/>
      <c r="F173" s="42" t="e">
        <f t="shared" si="11"/>
        <v>#REF!</v>
      </c>
      <c r="G173" s="42" t="e">
        <f t="shared" si="11"/>
        <v>#REF!</v>
      </c>
      <c r="H173" s="43"/>
      <c r="K173" s="31" t="str">
        <f>"""GP"",""Ute Indian Tribe Membership Fund"",""aaa_contract_detail_sp"",""JRNENTRY"",""1580770"",""aaGLHdrID"",""1748509"",""aaGLDistID"",""19"",""aaGLAssignID"",""1"",""contract"",""3420 FIA 54 UT 2025 5101"""</f>
        <v>"GP","Ute Indian Tribe Membership Fund","aaa_contract_detail_sp","JRNENTRY","1580770","aaGLHdrID","1748509","aaGLDistID","19","aaGLAssignID","1","contract","3420 FIA 54 UT 2025 5101"</v>
      </c>
      <c r="L173" s="44">
        <v>45656</v>
      </c>
      <c r="M173" s="31">
        <v>1580770</v>
      </c>
      <c r="N173" s="31" t="str">
        <f>""</f>
        <v/>
      </c>
      <c r="O173" s="31" t="str">
        <f>""</f>
        <v/>
      </c>
      <c r="P173" s="31" t="str">
        <f>""</f>
        <v/>
      </c>
      <c r="Q173" s="45" t="str">
        <f>""</f>
        <v/>
      </c>
      <c r="R173" s="46">
        <v>130.97999999999999</v>
      </c>
      <c r="S173" s="46">
        <v>0</v>
      </c>
      <c r="T173" s="47">
        <f t="shared" si="10"/>
        <v>130.97999999999999</v>
      </c>
    </row>
    <row r="174" spans="1:20" s="31" customFormat="1" x14ac:dyDescent="0.25">
      <c r="A174" s="25" t="s">
        <v>25</v>
      </c>
      <c r="B174" s="42"/>
      <c r="C174" s="42"/>
      <c r="D174" s="25"/>
      <c r="E174" s="25"/>
      <c r="F174" s="42" t="e">
        <f t="shared" si="11"/>
        <v>#REF!</v>
      </c>
      <c r="G174" s="42" t="e">
        <f t="shared" si="11"/>
        <v>#REF!</v>
      </c>
      <c r="H174" s="43"/>
      <c r="K174" s="31" t="str">
        <f>"""GP"",""Ute Indian Tribe Membership Fund"",""aaa_contract_detail_sp"",""JRNENTRY"",""1580783"",""aaGLHdrID"",""1748522"",""aaGLDistID"",""19"",""aaGLAssignID"",""1"",""contract"",""3420 FIA 54 UT 2025 5101"""</f>
        <v>"GP","Ute Indian Tribe Membership Fund","aaa_contract_detail_sp","JRNENTRY","1580783","aaGLHdrID","1748522","aaGLDistID","19","aaGLAssignID","1","contract","3420 FIA 54 UT 2025 5101"</v>
      </c>
      <c r="L174" s="44">
        <v>45656</v>
      </c>
      <c r="M174" s="31">
        <v>1580783</v>
      </c>
      <c r="N174" s="31" t="str">
        <f>""</f>
        <v/>
      </c>
      <c r="O174" s="31" t="str">
        <f>""</f>
        <v/>
      </c>
      <c r="P174" s="31" t="str">
        <f>""</f>
        <v/>
      </c>
      <c r="Q174" s="45" t="str">
        <f>""</f>
        <v/>
      </c>
      <c r="R174" s="46">
        <v>141.22</v>
      </c>
      <c r="S174" s="46">
        <v>0</v>
      </c>
      <c r="T174" s="47">
        <f t="shared" si="10"/>
        <v>141.22</v>
      </c>
    </row>
    <row r="175" spans="1:20" s="31" customFormat="1" x14ac:dyDescent="0.25">
      <c r="A175" s="25" t="s">
        <v>25</v>
      </c>
      <c r="B175" s="42"/>
      <c r="C175" s="42"/>
      <c r="D175" s="25"/>
      <c r="E175" s="25"/>
      <c r="F175" s="42" t="e">
        <f t="shared" si="11"/>
        <v>#REF!</v>
      </c>
      <c r="G175" s="42" t="e">
        <f t="shared" si="11"/>
        <v>#REF!</v>
      </c>
      <c r="H175" s="43"/>
      <c r="K175" s="31" t="str">
        <f>"""GP"",""Ute Indian Tribe Membership Fund"",""aaa_contract_detail_sp"",""JRNENTRY"",""1580823"",""aaGLHdrID"",""1748562"",""aaGLDistID"",""18"",""aaGLAssignID"",""1"",""contract"",""3420 FIA 54 UT 2025 5101"""</f>
        <v>"GP","Ute Indian Tribe Membership Fund","aaa_contract_detail_sp","JRNENTRY","1580823","aaGLHdrID","1748562","aaGLDistID","18","aaGLAssignID","1","contract","3420 FIA 54 UT 2025 5101"</v>
      </c>
      <c r="L175" s="44">
        <v>45656</v>
      </c>
      <c r="M175" s="31">
        <v>1580823</v>
      </c>
      <c r="N175" s="31" t="str">
        <f>""</f>
        <v/>
      </c>
      <c r="O175" s="31" t="str">
        <f>""</f>
        <v/>
      </c>
      <c r="P175" s="31" t="str">
        <f>""</f>
        <v/>
      </c>
      <c r="Q175" s="45" t="str">
        <f>""</f>
        <v/>
      </c>
      <c r="R175" s="46">
        <v>160.9</v>
      </c>
      <c r="S175" s="46">
        <v>0</v>
      </c>
      <c r="T175" s="47">
        <f t="shared" si="10"/>
        <v>160.9</v>
      </c>
    </row>
    <row r="176" spans="1:20" s="31" customFormat="1" ht="12.75" x14ac:dyDescent="0.2">
      <c r="A176" s="25" t="s">
        <v>25</v>
      </c>
      <c r="B176" s="42"/>
      <c r="C176" s="42"/>
      <c r="D176" s="25"/>
      <c r="E176" s="25"/>
      <c r="F176" s="42" t="e">
        <f>#REF!</f>
        <v>#REF!</v>
      </c>
      <c r="G176" s="42" t="e">
        <f>#REF!</f>
        <v>#REF!</v>
      </c>
      <c r="H176" s="43"/>
    </row>
    <row r="177" spans="1:20" s="31" customFormat="1" ht="12.75" x14ac:dyDescent="0.2">
      <c r="A177" s="25" t="s">
        <v>25</v>
      </c>
      <c r="B177" s="25"/>
      <c r="C177" s="25"/>
      <c r="D177" s="25"/>
      <c r="E177" s="25"/>
      <c r="F177" s="25"/>
      <c r="G177" s="25"/>
      <c r="H177" s="30"/>
      <c r="I177" s="54" t="str">
        <f>I155&amp;"   "&amp;J155&amp;"         Total:"</f>
        <v>5021-0-6120-3420   Fringe Benefits - Retirement         Total:</v>
      </c>
      <c r="J177" s="54"/>
      <c r="K177" s="54"/>
      <c r="L177" s="54"/>
      <c r="M177" s="54"/>
      <c r="N177" s="54"/>
      <c r="O177" s="54"/>
      <c r="P177" s="54"/>
      <c r="Q177" s="54"/>
      <c r="R177" s="54"/>
      <c r="S177" s="54"/>
      <c r="T177" s="48">
        <f>SUBTOTAL(9,T156:T176)</f>
        <v>3248.56</v>
      </c>
    </row>
    <row r="178" spans="1:20" s="31" customFormat="1" ht="12.75" x14ac:dyDescent="0.2">
      <c r="A178" s="25" t="s">
        <v>25</v>
      </c>
      <c r="B178" s="25"/>
      <c r="C178" s="25"/>
      <c r="D178" s="25"/>
      <c r="E178" s="25"/>
      <c r="F178" s="25"/>
      <c r="G178" s="25"/>
      <c r="H178" s="30"/>
    </row>
    <row r="179" spans="1:20" s="31" customFormat="1" ht="12.75" x14ac:dyDescent="0.2">
      <c r="A179" s="25" t="s">
        <v>25</v>
      </c>
      <c r="B179" s="25"/>
      <c r="C179" s="25"/>
      <c r="D179" s="25"/>
      <c r="E179" s="25"/>
      <c r="F179" s="25" t="str">
        <f>"5021-0-6160-3420"</f>
        <v>5021-0-6160-3420</v>
      </c>
      <c r="G179" s="25" t="str">
        <f>"5021-0-6160-3420"</f>
        <v>5021-0-6160-3420</v>
      </c>
      <c r="H179" s="30"/>
      <c r="I179" s="40" t="str">
        <f>G179</f>
        <v>5021-0-6160-3420</v>
      </c>
      <c r="J179" s="40" t="str">
        <f>"Food"</f>
        <v>Food</v>
      </c>
      <c r="Q179" s="40"/>
      <c r="R179" s="41"/>
    </row>
    <row r="180" spans="1:20" s="31" customFormat="1" x14ac:dyDescent="0.25">
      <c r="A180" s="25" t="s">
        <v>25</v>
      </c>
      <c r="B180" s="42"/>
      <c r="C180" s="42"/>
      <c r="D180" s="25"/>
      <c r="E180" s="25"/>
      <c r="F180" s="42" t="e">
        <f>#REF!</f>
        <v>#REF!</v>
      </c>
      <c r="G180" s="42" t="e">
        <f>#REF!</f>
        <v>#REF!</v>
      </c>
      <c r="H180" s="43"/>
      <c r="K180" s="31" t="str">
        <f>"""GP"",""Ute Indian Tribe Membership Fund"",""aaa_contract_detail_sp"",""JRNENTRY"",""1580452"",""aaGLHdrID"",""1748195"",""aaGLDistID"",""2"",""aaGLAssignID"",""1"",""contract"",""3420 FIA 54 UT 2025 5101"""</f>
        <v>"GP","Ute Indian Tribe Membership Fund","aaa_contract_detail_sp","JRNENTRY","1580452","aaGLHdrID","1748195","aaGLDistID","2","aaGLAssignID","1","contract","3420 FIA 54 UT 2025 5101"</v>
      </c>
      <c r="L180" s="44">
        <v>45597</v>
      </c>
      <c r="M180" s="31">
        <v>1580452</v>
      </c>
      <c r="N180" s="31" t="str">
        <f>"ANGUS, RHONDA"</f>
        <v>ANGUS, RHONDA</v>
      </c>
      <c r="O180" s="31" t="str">
        <f>"965"</f>
        <v>965</v>
      </c>
      <c r="P180" s="31" t="str">
        <f>"Sewing class supplies"</f>
        <v>Sewing class supplies</v>
      </c>
      <c r="Q180" s="45" t="str">
        <f>"00000000457915"</f>
        <v>00000000457915</v>
      </c>
      <c r="R180" s="46">
        <v>130.4</v>
      </c>
      <c r="S180" s="46">
        <v>0</v>
      </c>
      <c r="T180" s="47">
        <f t="shared" ref="T180:T193" si="12">SUM(R180:S180)</f>
        <v>130.4</v>
      </c>
    </row>
    <row r="181" spans="1:20" s="31" customFormat="1" x14ac:dyDescent="0.25">
      <c r="A181" s="25" t="s">
        <v>25</v>
      </c>
      <c r="B181" s="42"/>
      <c r="C181" s="42"/>
      <c r="D181" s="25"/>
      <c r="E181" s="25"/>
      <c r="F181" s="42" t="e">
        <f t="shared" ref="F181:G193" si="13">F180</f>
        <v>#REF!</v>
      </c>
      <c r="G181" s="42" t="e">
        <f t="shared" si="13"/>
        <v>#REF!</v>
      </c>
      <c r="H181" s="43"/>
      <c r="K181" s="31" t="str">
        <f>"""GP"",""Ute Indian Tribe Membership Fund"",""aaa_contract_detail_sp"",""JRNENTRY"",""1581704"",""aaGLHdrID"",""1749557"",""aaGLDistID"",""2"",""aaGLAssignID"",""1"",""contract"",""3420 FIA 54 UT 2025 5101"""</f>
        <v>"GP","Ute Indian Tribe Membership Fund","aaa_contract_detail_sp","JRNENTRY","1581704","aaGLHdrID","1749557","aaGLDistID","2","aaGLAssignID","1","contract","3420 FIA 54 UT 2025 5101"</v>
      </c>
      <c r="L181" s="44">
        <v>45597</v>
      </c>
      <c r="M181" s="31">
        <v>1581704</v>
      </c>
      <c r="N181" s="31" t="str">
        <f>"UTE PLAZA SUPERMARKET, LLC"</f>
        <v>UTE PLAZA SUPERMARKET, LLC</v>
      </c>
      <c r="O181" s="31" t="str">
        <f>"91218"</f>
        <v>91218</v>
      </c>
      <c r="P181" s="31" t="str">
        <f>"School lunch"</f>
        <v>School lunch</v>
      </c>
      <c r="Q181" s="45" t="str">
        <f>"00000000458210"</f>
        <v>00000000458210</v>
      </c>
      <c r="R181" s="46">
        <v>47.71</v>
      </c>
      <c r="S181" s="46">
        <v>0</v>
      </c>
      <c r="T181" s="47">
        <f t="shared" si="12"/>
        <v>47.71</v>
      </c>
    </row>
    <row r="182" spans="1:20" s="31" customFormat="1" x14ac:dyDescent="0.25">
      <c r="A182" s="25" t="s">
        <v>25</v>
      </c>
      <c r="B182" s="42"/>
      <c r="C182" s="42"/>
      <c r="D182" s="25"/>
      <c r="E182" s="25"/>
      <c r="F182" s="42" t="e">
        <f t="shared" si="13"/>
        <v>#REF!</v>
      </c>
      <c r="G182" s="42" t="e">
        <f t="shared" si="13"/>
        <v>#REF!</v>
      </c>
      <c r="H182" s="43"/>
      <c r="K182" s="31" t="str">
        <f>"""GP"",""Ute Indian Tribe Membership Fund"",""aaa_contract_detail_sp"",""JRNENTRY"",""1581705"",""aaGLHdrID"",""1749558"",""aaGLDistID"",""2"",""aaGLAssignID"",""1"",""contract"",""3420 FIA 54 UT 2025 5101"""</f>
        <v>"GP","Ute Indian Tribe Membership Fund","aaa_contract_detail_sp","JRNENTRY","1581705","aaGLHdrID","1749558","aaGLDistID","2","aaGLAssignID","1","contract","3420 FIA 54 UT 2025 5101"</v>
      </c>
      <c r="L182" s="44">
        <v>45601</v>
      </c>
      <c r="M182" s="31">
        <v>1581705</v>
      </c>
      <c r="N182" s="31" t="str">
        <f>"UTE PLAZA SUPERMARKET, LLC"</f>
        <v>UTE PLAZA SUPERMARKET, LLC</v>
      </c>
      <c r="O182" s="31" t="str">
        <f>"92591"</f>
        <v>92591</v>
      </c>
      <c r="P182" s="31" t="str">
        <f>"School Breakfast"</f>
        <v>School Breakfast</v>
      </c>
      <c r="Q182" s="45" t="str">
        <f>"00000000458210"</f>
        <v>00000000458210</v>
      </c>
      <c r="R182" s="46">
        <v>35.86</v>
      </c>
      <c r="S182" s="46">
        <v>0</v>
      </c>
      <c r="T182" s="47">
        <f t="shared" si="12"/>
        <v>35.86</v>
      </c>
    </row>
    <row r="183" spans="1:20" s="31" customFormat="1" x14ac:dyDescent="0.25">
      <c r="A183" s="25" t="s">
        <v>25</v>
      </c>
      <c r="B183" s="42"/>
      <c r="C183" s="42"/>
      <c r="D183" s="25"/>
      <c r="E183" s="25"/>
      <c r="F183" s="42" t="e">
        <f t="shared" si="13"/>
        <v>#REF!</v>
      </c>
      <c r="G183" s="42" t="e">
        <f t="shared" si="13"/>
        <v>#REF!</v>
      </c>
      <c r="H183" s="43"/>
      <c r="K183" s="31" t="str">
        <f>"""GP"",""Ute Indian Tribe Membership Fund"",""aaa_contract_detail_sp"",""JRNENTRY"",""1581706"",""aaGLHdrID"",""1749559"",""aaGLDistID"",""2"",""aaGLAssignID"",""1"",""contract"",""3420 FIA 54 UT 2025 5101"""</f>
        <v>"GP","Ute Indian Tribe Membership Fund","aaa_contract_detail_sp","JRNENTRY","1581706","aaGLHdrID","1749559","aaGLDistID","2","aaGLAssignID","1","contract","3420 FIA 54 UT 2025 5101"</v>
      </c>
      <c r="L183" s="44">
        <v>45603</v>
      </c>
      <c r="M183" s="31">
        <v>1581706</v>
      </c>
      <c r="N183" s="31" t="str">
        <f>"UTE PLAZA SUPERMARKET, LLC"</f>
        <v>UTE PLAZA SUPERMARKET, LLC</v>
      </c>
      <c r="O183" s="31" t="str">
        <f>"92548"</f>
        <v>92548</v>
      </c>
      <c r="P183" s="31" t="str">
        <f>"Food for volleyball team"</f>
        <v>Food for volleyball team</v>
      </c>
      <c r="Q183" s="45" t="str">
        <f>"00000000458210"</f>
        <v>00000000458210</v>
      </c>
      <c r="R183" s="46">
        <v>122.43</v>
      </c>
      <c r="S183" s="46">
        <v>0</v>
      </c>
      <c r="T183" s="47">
        <f t="shared" si="12"/>
        <v>122.43</v>
      </c>
    </row>
    <row r="184" spans="1:20" s="31" customFormat="1" x14ac:dyDescent="0.25">
      <c r="A184" s="25" t="s">
        <v>25</v>
      </c>
      <c r="B184" s="42"/>
      <c r="C184" s="42"/>
      <c r="D184" s="25"/>
      <c r="E184" s="25"/>
      <c r="F184" s="42" t="e">
        <f t="shared" si="13"/>
        <v>#REF!</v>
      </c>
      <c r="G184" s="42" t="e">
        <f t="shared" si="13"/>
        <v>#REF!</v>
      </c>
      <c r="H184" s="43"/>
      <c r="K184" s="31" t="str">
        <f>"""GP"",""Ute Indian Tribe Membership Fund"",""aaa_contract_detail_sp"",""JRNENTRY"",""1581707"",""aaGLHdrID"",""1749560"",""aaGLDistID"",""2"",""aaGLAssignID"",""1"",""contract"",""3420 FIA 54 UT 2025 5101"""</f>
        <v>"GP","Ute Indian Tribe Membership Fund","aaa_contract_detail_sp","JRNENTRY","1581707","aaGLHdrID","1749560","aaGLDistID","2","aaGLAssignID","1","contract","3420 FIA 54 UT 2025 5101"</v>
      </c>
      <c r="L184" s="44">
        <v>45607</v>
      </c>
      <c r="M184" s="31">
        <v>1581707</v>
      </c>
      <c r="N184" s="31" t="str">
        <f>"UTE PLAZA SUPERMARKET, LLC"</f>
        <v>UTE PLAZA SUPERMARKET, LLC</v>
      </c>
      <c r="O184" s="31" t="str">
        <f>"925830"</f>
        <v>925830</v>
      </c>
      <c r="P184" s="31" t="str">
        <f>"School breakfast"</f>
        <v>School breakfast</v>
      </c>
      <c r="Q184" s="45" t="str">
        <f>"00000000458210"</f>
        <v>00000000458210</v>
      </c>
      <c r="R184" s="46">
        <v>51.76</v>
      </c>
      <c r="S184" s="46">
        <v>0</v>
      </c>
      <c r="T184" s="47">
        <f t="shared" si="12"/>
        <v>51.76</v>
      </c>
    </row>
    <row r="185" spans="1:20" s="31" customFormat="1" x14ac:dyDescent="0.25">
      <c r="A185" s="25" t="s">
        <v>25</v>
      </c>
      <c r="B185" s="42"/>
      <c r="C185" s="42"/>
      <c r="D185" s="25"/>
      <c r="E185" s="25"/>
      <c r="F185" s="42" t="e">
        <f t="shared" si="13"/>
        <v>#REF!</v>
      </c>
      <c r="G185" s="42" t="e">
        <f t="shared" si="13"/>
        <v>#REF!</v>
      </c>
      <c r="H185" s="43"/>
      <c r="K185" s="31" t="str">
        <f>"""GP"",""Ute Indian Tribe Membership Fund"",""aaa_contract_detail_sp"",""JRNENTRY"",""1581708"",""aaGLHdrID"",""1749561"",""aaGLDistID"",""2"",""aaGLAssignID"",""1"",""contract"",""3420 FIA 54 UT 2025 5101"""</f>
        <v>"GP","Ute Indian Tribe Membership Fund","aaa_contract_detail_sp","JRNENTRY","1581708","aaGLHdrID","1749561","aaGLDistID","2","aaGLAssignID","1","contract","3420 FIA 54 UT 2025 5101"</v>
      </c>
      <c r="L185" s="44">
        <v>45610</v>
      </c>
      <c r="M185" s="31">
        <v>1581708</v>
      </c>
      <c r="N185" s="31" t="str">
        <f>"UTE PLAZA SUPERMARKET, LLC"</f>
        <v>UTE PLAZA SUPERMARKET, LLC</v>
      </c>
      <c r="O185" s="31" t="str">
        <f>"92491"</f>
        <v>92491</v>
      </c>
      <c r="P185" s="31" t="str">
        <f>"Food parent teacher conf"</f>
        <v>Food parent teacher conf</v>
      </c>
      <c r="Q185" s="45" t="str">
        <f>"00000000458210"</f>
        <v>00000000458210</v>
      </c>
      <c r="R185" s="46">
        <v>96.01</v>
      </c>
      <c r="S185" s="46">
        <v>0</v>
      </c>
      <c r="T185" s="47">
        <f t="shared" si="12"/>
        <v>96.01</v>
      </c>
    </row>
    <row r="186" spans="1:20" s="31" customFormat="1" x14ac:dyDescent="0.25">
      <c r="A186" s="25" t="s">
        <v>25</v>
      </c>
      <c r="B186" s="42"/>
      <c r="C186" s="42"/>
      <c r="D186" s="25"/>
      <c r="E186" s="25"/>
      <c r="F186" s="42" t="e">
        <f t="shared" si="13"/>
        <v>#REF!</v>
      </c>
      <c r="G186" s="42" t="e">
        <f t="shared" si="13"/>
        <v>#REF!</v>
      </c>
      <c r="H186" s="43"/>
      <c r="K186" s="31" t="str">
        <f>"""GP"",""Ute Indian Tribe Membership Fund"",""aaa_contract_detail_sp"",""JRNENTRY"",""1577123"",""aaGLHdrID"",""1745047"",""aaGLDistID"",""2"",""aaGLAssignID"",""1"",""contract"",""3420 FIA 54 UT 2025 5101"""</f>
        <v>"GP","Ute Indian Tribe Membership Fund","aaa_contract_detail_sp","JRNENTRY","1577123","aaGLHdrID","1745047","aaGLDistID","2","aaGLAssignID","1","contract","3420 FIA 54 UT 2025 5101"</v>
      </c>
      <c r="L186" s="44">
        <v>45616</v>
      </c>
      <c r="M186" s="31">
        <v>1577123</v>
      </c>
      <c r="N186" s="31" t="str">
        <f>"JONES RESTAURANT VENTURES INC"</f>
        <v>JONES RESTAURANT VENTURES INC</v>
      </c>
      <c r="O186" s="31" t="str">
        <f>"505"</f>
        <v>505</v>
      </c>
      <c r="P186" s="31" t="str">
        <f>"School lunch"</f>
        <v>School lunch</v>
      </c>
      <c r="Q186" s="45" t="str">
        <f>"00000000457115"</f>
        <v>00000000457115</v>
      </c>
      <c r="R186" s="46">
        <v>12610</v>
      </c>
      <c r="S186" s="46">
        <v>0</v>
      </c>
      <c r="T186" s="47">
        <f t="shared" si="12"/>
        <v>12610</v>
      </c>
    </row>
    <row r="187" spans="1:20" s="31" customFormat="1" x14ac:dyDescent="0.25">
      <c r="A187" s="25" t="s">
        <v>25</v>
      </c>
      <c r="B187" s="42"/>
      <c r="C187" s="42"/>
      <c r="D187" s="25"/>
      <c r="E187" s="25"/>
      <c r="F187" s="42" t="e">
        <f t="shared" si="13"/>
        <v>#REF!</v>
      </c>
      <c r="G187" s="42" t="e">
        <f t="shared" si="13"/>
        <v>#REF!</v>
      </c>
      <c r="H187" s="43"/>
      <c r="K187" s="31" t="str">
        <f>"""GP"",""Ute Indian Tribe Membership Fund"",""aaa_contract_detail_sp"",""JRNENTRY"",""1577124"",""aaGLHdrID"",""1745048"",""aaGLDistID"",""2"",""aaGLAssignID"",""1"",""contract"",""3420 FIA 54 UT 2025 5101"""</f>
        <v>"GP","Ute Indian Tribe Membership Fund","aaa_contract_detail_sp","JRNENTRY","1577124","aaGLHdrID","1745048","aaGLDistID","2","aaGLAssignID","1","contract","3420 FIA 54 UT 2025 5101"</v>
      </c>
      <c r="L187" s="44">
        <v>45616</v>
      </c>
      <c r="M187" s="31">
        <v>1577124</v>
      </c>
      <c r="N187" s="31" t="str">
        <f>"JONES RESTAURANT VENTURES INC"</f>
        <v>JONES RESTAURANT VENTURES INC</v>
      </c>
      <c r="O187" s="31" t="str">
        <f>"506"</f>
        <v>506</v>
      </c>
      <c r="P187" s="31" t="str">
        <f>"School lunch"</f>
        <v>School lunch</v>
      </c>
      <c r="Q187" s="45" t="str">
        <f>"00000000457115"</f>
        <v>00000000457115</v>
      </c>
      <c r="R187" s="46">
        <v>13575</v>
      </c>
      <c r="S187" s="46">
        <v>0</v>
      </c>
      <c r="T187" s="47">
        <f t="shared" si="12"/>
        <v>13575</v>
      </c>
    </row>
    <row r="188" spans="1:20" s="31" customFormat="1" x14ac:dyDescent="0.25">
      <c r="A188" s="25" t="s">
        <v>25</v>
      </c>
      <c r="B188" s="42"/>
      <c r="C188" s="42"/>
      <c r="D188" s="25"/>
      <c r="E188" s="25"/>
      <c r="F188" s="42" t="e">
        <f t="shared" si="13"/>
        <v>#REF!</v>
      </c>
      <c r="G188" s="42" t="e">
        <f t="shared" si="13"/>
        <v>#REF!</v>
      </c>
      <c r="H188" s="43"/>
      <c r="K188" s="31" t="str">
        <f>"""GP"",""Ute Indian Tribe Membership Fund"",""aaa_contract_detail_sp"",""JRNENTRY"",""1581709"",""aaGLHdrID"",""1749562"",""aaGLDistID"",""2"",""aaGLAssignID"",""1"",""contract"",""3420 FIA 54 UT 2025 5101"""</f>
        <v>"GP","Ute Indian Tribe Membership Fund","aaa_contract_detail_sp","JRNENTRY","1581709","aaGLHdrID","1749562","aaGLDistID","2","aaGLAssignID","1","contract","3420 FIA 54 UT 2025 5101"</v>
      </c>
      <c r="L188" s="44">
        <v>45618</v>
      </c>
      <c r="M188" s="31">
        <v>1581709</v>
      </c>
      <c r="N188" s="31" t="str">
        <f>"UTE PLAZA SUPERMARKET, LLC"</f>
        <v>UTE PLAZA SUPERMARKET, LLC</v>
      </c>
      <c r="O188" s="31" t="str">
        <f>"92237"</f>
        <v>92237</v>
      </c>
      <c r="P188" s="31" t="str">
        <f>"School lunch"</f>
        <v>School lunch</v>
      </c>
      <c r="Q188" s="45" t="str">
        <f>"00000000458210"</f>
        <v>00000000458210</v>
      </c>
      <c r="R188" s="46">
        <v>31.26</v>
      </c>
      <c r="S188" s="46">
        <v>0</v>
      </c>
      <c r="T188" s="47">
        <f t="shared" si="12"/>
        <v>31.26</v>
      </c>
    </row>
    <row r="189" spans="1:20" s="31" customFormat="1" x14ac:dyDescent="0.25">
      <c r="A189" s="25" t="s">
        <v>25</v>
      </c>
      <c r="B189" s="42"/>
      <c r="C189" s="42"/>
      <c r="D189" s="25"/>
      <c r="E189" s="25"/>
      <c r="F189" s="42" t="e">
        <f t="shared" si="13"/>
        <v>#REF!</v>
      </c>
      <c r="G189" s="42" t="e">
        <f t="shared" si="13"/>
        <v>#REF!</v>
      </c>
      <c r="H189" s="43"/>
      <c r="K189" s="31" t="str">
        <f>"""GP"",""Ute Indian Tribe Membership Fund"",""aaa_contract_detail_sp"",""JRNENTRY"",""1580453"",""aaGLHdrID"",""1748196"",""aaGLDistID"",""2"",""aaGLAssignID"",""1"",""contract"",""3420 FIA 54 UT 2025 5101"""</f>
        <v>"GP","Ute Indian Tribe Membership Fund","aaa_contract_detail_sp","JRNENTRY","1580453","aaGLHdrID","1748196","aaGLDistID","2","aaGLAssignID","1","contract","3420 FIA 54 UT 2025 5101"</v>
      </c>
      <c r="L189" s="44">
        <v>45637</v>
      </c>
      <c r="M189" s="31">
        <v>1580453</v>
      </c>
      <c r="N189" s="31" t="str">
        <f>"ANGUS, RHONDA"</f>
        <v>ANGUS, RHONDA</v>
      </c>
      <c r="O189" s="31" t="str">
        <f>"001102"</f>
        <v>001102</v>
      </c>
      <c r="P189" s="31" t="str">
        <f>"Sewing class supplies"</f>
        <v>Sewing class supplies</v>
      </c>
      <c r="Q189" s="45" t="str">
        <f>"00000000457915"</f>
        <v>00000000457915</v>
      </c>
      <c r="R189" s="46">
        <v>107.27</v>
      </c>
      <c r="S189" s="46">
        <v>0</v>
      </c>
      <c r="T189" s="47">
        <f t="shared" si="12"/>
        <v>107.27</v>
      </c>
    </row>
    <row r="190" spans="1:20" s="31" customFormat="1" x14ac:dyDescent="0.25">
      <c r="A190" s="25" t="s">
        <v>25</v>
      </c>
      <c r="B190" s="42"/>
      <c r="C190" s="42"/>
      <c r="D190" s="25"/>
      <c r="E190" s="25"/>
      <c r="F190" s="42" t="e">
        <f t="shared" si="13"/>
        <v>#REF!</v>
      </c>
      <c r="G190" s="42" t="e">
        <f t="shared" si="13"/>
        <v>#REF!</v>
      </c>
      <c r="H190" s="43"/>
      <c r="K190" s="31" t="str">
        <f>"""GP"",""Ute Indian Tribe Membership Fund"",""aaa_contract_detail_sp"",""JRNENTRY"",""1580449"",""aaGLHdrID"",""1748192"",""aaGLDistID"",""2"",""aaGLAssignID"",""1"",""contract"",""3420 FIA 54 UT 2025 5101"""</f>
        <v>"GP","Ute Indian Tribe Membership Fund","aaa_contract_detail_sp","JRNENTRY","1580449","aaGLHdrID","1748192","aaGLDistID","2","aaGLAssignID","1","contract","3420 FIA 54 UT 2025 5101"</v>
      </c>
      <c r="L190" s="44">
        <v>45642</v>
      </c>
      <c r="M190" s="31">
        <v>1580449</v>
      </c>
      <c r="N190" s="31" t="str">
        <f>"Benjamin Fagnant"</f>
        <v>Benjamin Fagnant</v>
      </c>
      <c r="O190" s="31" t="str">
        <f>"001783D"</f>
        <v>001783D</v>
      </c>
      <c r="P190" s="31" t="str">
        <f>"Sports team meals"</f>
        <v>Sports team meals</v>
      </c>
      <c r="Q190" s="45" t="str">
        <f>"00000000457916"</f>
        <v>00000000457916</v>
      </c>
      <c r="R190" s="46">
        <v>190.14</v>
      </c>
      <c r="S190" s="46">
        <v>0</v>
      </c>
      <c r="T190" s="47">
        <f t="shared" si="12"/>
        <v>190.14</v>
      </c>
    </row>
    <row r="191" spans="1:20" s="31" customFormat="1" x14ac:dyDescent="0.25">
      <c r="A191" s="25" t="s">
        <v>25</v>
      </c>
      <c r="B191" s="42"/>
      <c r="C191" s="42"/>
      <c r="D191" s="25"/>
      <c r="E191" s="25"/>
      <c r="F191" s="42" t="e">
        <f t="shared" si="13"/>
        <v>#REF!</v>
      </c>
      <c r="G191" s="42" t="e">
        <f t="shared" si="13"/>
        <v>#REF!</v>
      </c>
      <c r="H191" s="43"/>
      <c r="K191" s="31" t="str">
        <f>"""GP"",""Ute Indian Tribe Membership Fund"",""aaa_contract_detail_sp"",""JRNENTRY"",""1580450"",""aaGLHdrID"",""1748193"",""aaGLDistID"",""2"",""aaGLAssignID"",""1"",""contract"",""3420 FIA 54 UT 2025 5101"""</f>
        <v>"GP","Ute Indian Tribe Membership Fund","aaa_contract_detail_sp","JRNENTRY","1580450","aaGLHdrID","1748193","aaGLDistID","2","aaGLAssignID","1","contract","3420 FIA 54 UT 2025 5101"</v>
      </c>
      <c r="L191" s="44">
        <v>45643</v>
      </c>
      <c r="M191" s="31">
        <v>1580450</v>
      </c>
      <c r="N191" s="31" t="str">
        <f>"Brittany A. Luck"</f>
        <v>Brittany A. Luck</v>
      </c>
      <c r="O191" s="31" t="str">
        <f>"3007"</f>
        <v>3007</v>
      </c>
      <c r="P191" s="31" t="str">
        <f>"School breakfast"</f>
        <v>School breakfast</v>
      </c>
      <c r="Q191" s="45" t="str">
        <f>"00000000457917"</f>
        <v>00000000457917</v>
      </c>
      <c r="R191" s="46">
        <v>57.32</v>
      </c>
      <c r="S191" s="46">
        <v>0</v>
      </c>
      <c r="T191" s="47">
        <f t="shared" si="12"/>
        <v>57.32</v>
      </c>
    </row>
    <row r="192" spans="1:20" s="31" customFormat="1" x14ac:dyDescent="0.25">
      <c r="A192" s="25" t="s">
        <v>25</v>
      </c>
      <c r="B192" s="42"/>
      <c r="C192" s="42"/>
      <c r="D192" s="25"/>
      <c r="E192" s="25"/>
      <c r="F192" s="42" t="e">
        <f t="shared" si="13"/>
        <v>#REF!</v>
      </c>
      <c r="G192" s="42" t="e">
        <f t="shared" si="13"/>
        <v>#REF!</v>
      </c>
      <c r="H192" s="43"/>
      <c r="K192" s="31" t="str">
        <f>"""GP"",""Ute Indian Tribe Membership Fund"",""aaa_contract_detail_sp"",""JRNENTRY"",""1581804"",""aaGLHdrID"",""1749657"",""aaGLDistID"",""2"",""aaGLAssignID"",""1"",""contract"",""3420 FIA 54 UT 2025 5101"""</f>
        <v>"GP","Ute Indian Tribe Membership Fund","aaa_contract_detail_sp","JRNENTRY","1581804","aaGLHdrID","1749657","aaGLDistID","2","aaGLAssignID","1","contract","3420 FIA 54 UT 2025 5101"</v>
      </c>
      <c r="L192" s="44">
        <v>45653</v>
      </c>
      <c r="M192" s="31">
        <v>1581804</v>
      </c>
      <c r="N192" s="31" t="str">
        <f>"MOUNT OLYMPUS WATERS"</f>
        <v>MOUNT OLYMPUS WATERS</v>
      </c>
      <c r="O192" s="31" t="str">
        <f>"22531714 122724"</f>
        <v>22531714 122724</v>
      </c>
      <c r="P192" s="31" t="str">
        <f>"Water"</f>
        <v>Water</v>
      </c>
      <c r="Q192" s="45" t="str">
        <f>"00000000458195"</f>
        <v>00000000458195</v>
      </c>
      <c r="R192" s="46">
        <v>528.70000000000005</v>
      </c>
      <c r="S192" s="46">
        <v>0</v>
      </c>
      <c r="T192" s="47">
        <f t="shared" si="12"/>
        <v>528.70000000000005</v>
      </c>
    </row>
    <row r="193" spans="1:20" s="31" customFormat="1" x14ac:dyDescent="0.25">
      <c r="A193" s="25" t="s">
        <v>25</v>
      </c>
      <c r="B193" s="42"/>
      <c r="C193" s="42"/>
      <c r="D193" s="25"/>
      <c r="E193" s="25"/>
      <c r="F193" s="42" t="e">
        <f t="shared" si="13"/>
        <v>#REF!</v>
      </c>
      <c r="G193" s="42" t="e">
        <f t="shared" si="13"/>
        <v>#REF!</v>
      </c>
      <c r="H193" s="43"/>
      <c r="K193" s="31" t="str">
        <f>"""GP"",""Ute Indian Tribe Membership Fund"",""aaa_contract_detail_sp"",""JRNENTRY"",""1581722"",""aaGLHdrID"",""1749575"",""aaGLDistID"",""2"",""aaGLAssignID"",""1"",""contract"",""3420 FIA 54 UT 2025 5101"""</f>
        <v>"GP","Ute Indian Tribe Membership Fund","aaa_contract_detail_sp","JRNENTRY","1581722","aaGLHdrID","1749575","aaGLDistID","2","aaGLAssignID","1","contract","3420 FIA 54 UT 2025 5101"</v>
      </c>
      <c r="L193" s="44">
        <v>45661</v>
      </c>
      <c r="M193" s="31">
        <v>1581722</v>
      </c>
      <c r="N193" s="31" t="str">
        <f>"JONES RESTAURANT VENTURES INC"</f>
        <v>JONES RESTAURANT VENTURES INC</v>
      </c>
      <c r="O193" s="31" t="str">
        <f>"540"</f>
        <v>540</v>
      </c>
      <c r="P193" s="31" t="str">
        <f>"School lunch and breakfast"</f>
        <v>School lunch and breakfast</v>
      </c>
      <c r="Q193" s="45" t="str">
        <f>"00000000458191"</f>
        <v>00000000458191</v>
      </c>
      <c r="R193" s="46">
        <v>8550</v>
      </c>
      <c r="S193" s="46">
        <v>0</v>
      </c>
      <c r="T193" s="47">
        <f t="shared" si="12"/>
        <v>8550</v>
      </c>
    </row>
    <row r="194" spans="1:20" s="31" customFormat="1" ht="12.75" x14ac:dyDescent="0.2">
      <c r="A194" s="25" t="s">
        <v>25</v>
      </c>
      <c r="B194" s="42"/>
      <c r="C194" s="42"/>
      <c r="D194" s="25"/>
      <c r="E194" s="25"/>
      <c r="F194" s="42" t="e">
        <f>#REF!</f>
        <v>#REF!</v>
      </c>
      <c r="G194" s="42" t="e">
        <f>#REF!</f>
        <v>#REF!</v>
      </c>
      <c r="H194" s="43"/>
    </row>
    <row r="195" spans="1:20" s="31" customFormat="1" ht="12.75" x14ac:dyDescent="0.2">
      <c r="A195" s="25" t="s">
        <v>25</v>
      </c>
      <c r="B195" s="25"/>
      <c r="C195" s="25"/>
      <c r="D195" s="25"/>
      <c r="E195" s="25"/>
      <c r="F195" s="25"/>
      <c r="G195" s="25"/>
      <c r="H195" s="30"/>
      <c r="I195" s="54" t="str">
        <f>I179&amp;"   "&amp;J179&amp;"         Total:"</f>
        <v>5021-0-6160-3420   Food         Total:</v>
      </c>
      <c r="J195" s="54"/>
      <c r="K195" s="54"/>
      <c r="L195" s="54"/>
      <c r="M195" s="54"/>
      <c r="N195" s="54"/>
      <c r="O195" s="54"/>
      <c r="P195" s="54"/>
      <c r="Q195" s="54"/>
      <c r="R195" s="54"/>
      <c r="S195" s="54"/>
      <c r="T195" s="48">
        <f>SUBTOTAL(9,T180:T194)</f>
        <v>36133.86</v>
      </c>
    </row>
    <row r="196" spans="1:20" s="31" customFormat="1" ht="12.75" x14ac:dyDescent="0.2">
      <c r="A196" s="25" t="s">
        <v>25</v>
      </c>
      <c r="B196" s="25"/>
      <c r="C196" s="25"/>
      <c r="D196" s="25"/>
      <c r="E196" s="25"/>
      <c r="F196" s="25"/>
      <c r="G196" s="25"/>
      <c r="H196" s="30"/>
    </row>
    <row r="197" spans="1:20" s="31" customFormat="1" ht="12.75" x14ac:dyDescent="0.2">
      <c r="A197" s="25" t="s">
        <v>25</v>
      </c>
      <c r="B197" s="25"/>
      <c r="C197" s="25"/>
      <c r="D197" s="25"/>
      <c r="E197" s="25"/>
      <c r="F197" s="25"/>
      <c r="G197" s="25"/>
      <c r="H197" s="30"/>
    </row>
    <row r="198" spans="1:20" s="31" customFormat="1" ht="12.75" x14ac:dyDescent="0.2">
      <c r="A198" s="25" t="s">
        <v>25</v>
      </c>
      <c r="B198" s="25"/>
      <c r="C198" s="25"/>
      <c r="D198" s="25"/>
      <c r="E198" s="25"/>
      <c r="F198" s="25" t="str">
        <f>"5021-0-6410-3420"</f>
        <v>5021-0-6410-3420</v>
      </c>
      <c r="G198" s="25" t="str">
        <f>"5021-0-6410-3420"</f>
        <v>5021-0-6410-3420</v>
      </c>
      <c r="H198" s="30"/>
      <c r="I198" s="40" t="str">
        <f>G198</f>
        <v>5021-0-6410-3420</v>
      </c>
      <c r="J198" s="40" t="str">
        <f>"Materials and Supplies"</f>
        <v>Materials and Supplies</v>
      </c>
      <c r="Q198" s="40"/>
      <c r="R198" s="41"/>
    </row>
    <row r="199" spans="1:20" s="31" customFormat="1" x14ac:dyDescent="0.25">
      <c r="A199" s="25" t="s">
        <v>25</v>
      </c>
      <c r="B199" s="42"/>
      <c r="C199" s="42"/>
      <c r="D199" s="25"/>
      <c r="E199" s="25"/>
      <c r="F199" s="42" t="e">
        <f>#REF!</f>
        <v>#REF!</v>
      </c>
      <c r="G199" s="42" t="e">
        <f>#REF!</f>
        <v>#REF!</v>
      </c>
      <c r="H199" s="43"/>
      <c r="K199" s="31" t="str">
        <f>"""GP"",""Ute Indian Tribe Membership Fund"",""aaa_contract_detail_sp"",""JRNENTRY"",""1571791"",""aaGLHdrID"",""1739596"",""aaGLDistID"",""2"",""aaGLAssignID"",""1"",""contract"",""3420 FIA 54 UT 2025 5101"""</f>
        <v>"GP","Ute Indian Tribe Membership Fund","aaa_contract_detail_sp","JRNENTRY","1571791","aaGLHdrID","1739596","aaGLDistID","2","aaGLAssignID","1","contract","3420 FIA 54 UT 2025 5101"</v>
      </c>
      <c r="L199" s="44">
        <v>45600</v>
      </c>
      <c r="M199" s="31">
        <v>1571791</v>
      </c>
      <c r="N199" s="31" t="str">
        <f>"Failner, Shawna J"</f>
        <v>Failner, Shawna J</v>
      </c>
      <c r="O199" s="31" t="str">
        <f>"G73692"</f>
        <v>G73692</v>
      </c>
      <c r="P199" s="31" t="str">
        <f>"Class Supplies"</f>
        <v>Class Supplies</v>
      </c>
      <c r="Q199" s="45" t="str">
        <f>"00000000456006"</f>
        <v>00000000456006</v>
      </c>
      <c r="R199" s="46">
        <v>7.99</v>
      </c>
      <c r="S199" s="46">
        <v>0</v>
      </c>
      <c r="T199" s="47">
        <f t="shared" ref="T199" si="14">SUM(R199:S199)</f>
        <v>7.99</v>
      </c>
    </row>
    <row r="200" spans="1:20" s="31" customFormat="1" ht="12.75" x14ac:dyDescent="0.2">
      <c r="A200" s="25" t="s">
        <v>25</v>
      </c>
      <c r="B200" s="42"/>
      <c r="C200" s="42"/>
      <c r="D200" s="25"/>
      <c r="E200" s="25"/>
      <c r="F200" s="42" t="e">
        <f>#REF!</f>
        <v>#REF!</v>
      </c>
      <c r="G200" s="42" t="e">
        <f>#REF!</f>
        <v>#REF!</v>
      </c>
      <c r="H200" s="43"/>
    </row>
    <row r="201" spans="1:20" s="31" customFormat="1" ht="12.75" x14ac:dyDescent="0.2">
      <c r="A201" s="25" t="s">
        <v>25</v>
      </c>
      <c r="B201" s="25"/>
      <c r="C201" s="25"/>
      <c r="D201" s="25"/>
      <c r="E201" s="25"/>
      <c r="F201" s="25"/>
      <c r="G201" s="25"/>
      <c r="H201" s="30"/>
      <c r="I201" s="54" t="str">
        <f>I198&amp;"   "&amp;J198&amp;"         Total:"</f>
        <v>5021-0-6410-3420   Materials and Supplies         Total:</v>
      </c>
      <c r="J201" s="54"/>
      <c r="K201" s="54"/>
      <c r="L201" s="54"/>
      <c r="M201" s="54"/>
      <c r="N201" s="54"/>
      <c r="O201" s="54"/>
      <c r="P201" s="54"/>
      <c r="Q201" s="54"/>
      <c r="R201" s="54"/>
      <c r="S201" s="54"/>
      <c r="T201" s="48">
        <f>SUBTOTAL(9,T199:T200)</f>
        <v>7.99</v>
      </c>
    </row>
    <row r="202" spans="1:20" s="31" customFormat="1" ht="12.75" x14ac:dyDescent="0.2">
      <c r="A202" s="25" t="s">
        <v>25</v>
      </c>
      <c r="B202" s="25"/>
      <c r="C202" s="25"/>
      <c r="D202" s="25"/>
      <c r="E202" s="25"/>
      <c r="F202" s="25"/>
      <c r="G202" s="25"/>
      <c r="H202" s="30"/>
    </row>
    <row r="203" spans="1:20" s="31" customFormat="1" ht="12.75" x14ac:dyDescent="0.2">
      <c r="A203" s="25" t="s">
        <v>25</v>
      </c>
      <c r="B203" s="25"/>
      <c r="C203" s="25"/>
      <c r="D203" s="25"/>
      <c r="E203" s="25"/>
      <c r="F203" s="25"/>
      <c r="G203" s="25"/>
      <c r="H203" s="30"/>
    </row>
    <row r="204" spans="1:20" s="31" customFormat="1" ht="15.75" hidden="1" thickBot="1" x14ac:dyDescent="0.3">
      <c r="A204" s="25" t="s">
        <v>1</v>
      </c>
      <c r="B204" s="25"/>
      <c r="C204" s="25"/>
      <c r="D204" s="25"/>
      <c r="E204" s="25"/>
      <c r="F204" s="25"/>
      <c r="G204" s="25"/>
      <c r="H204" s="30"/>
      <c r="I204" s="55" t="s">
        <v>26</v>
      </c>
      <c r="J204" s="55"/>
      <c r="K204" s="55"/>
      <c r="L204" s="55"/>
      <c r="M204" s="55"/>
      <c r="N204" s="55"/>
      <c r="O204" s="55"/>
      <c r="P204" s="55"/>
      <c r="Q204" s="55"/>
      <c r="R204" s="55"/>
      <c r="S204" s="55"/>
      <c r="T204" s="49">
        <f>SUBTOTAL(9,T57)</f>
        <v>0</v>
      </c>
    </row>
    <row r="205" spans="1:20" s="31" customFormat="1" ht="12.75" x14ac:dyDescent="0.2">
      <c r="A205" s="25"/>
      <c r="B205" s="25"/>
      <c r="C205" s="25"/>
      <c r="D205" s="25"/>
      <c r="E205" s="25"/>
      <c r="F205" s="25"/>
      <c r="G205" s="25"/>
      <c r="H205" s="30"/>
    </row>
  </sheetData>
  <mergeCells count="9">
    <mergeCell ref="I195:S195"/>
    <mergeCell ref="I201:S201"/>
    <mergeCell ref="I204:S204"/>
    <mergeCell ref="I7:K7"/>
    <mergeCell ref="I8:M8"/>
    <mergeCell ref="I57:S57"/>
    <mergeCell ref="I127:S127"/>
    <mergeCell ref="I152:S152"/>
    <mergeCell ref="I177:S177"/>
  </mergeCells>
  <pageMargins left="0.75" right="0.75" top="1" bottom="1" header="0.5" footer="0.5"/>
  <pageSetup scale="34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67"/>
  <sheetViews>
    <sheetView showGridLines="0" topLeftCell="H1" zoomScale="80" zoomScaleNormal="80" workbookViewId="0">
      <pane ySplit="15" topLeftCell="A16" activePane="bottomLeft" state="frozen"/>
      <selection pane="bottomLeft" activeCell="H16" sqref="H16"/>
    </sheetView>
  </sheetViews>
  <sheetFormatPr defaultRowHeight="15" x14ac:dyDescent="0.25"/>
  <cols>
    <col min="1" max="1" width="11.85546875" hidden="1" customWidth="1"/>
    <col min="2" max="2" width="17.85546875" hidden="1" customWidth="1"/>
    <col min="3" max="5" width="17.7109375" hidden="1" customWidth="1"/>
    <col min="6" max="6" width="9.140625" hidden="1" customWidth="1"/>
    <col min="7" max="7" width="11.140625" hidden="1" customWidth="1"/>
    <col min="8" max="8" width="2.140625" customWidth="1"/>
    <col min="9" max="9" width="17.42578125" bestFit="1" customWidth="1"/>
    <col min="10" max="10" width="44.140625" bestFit="1" customWidth="1"/>
    <col min="11" max="11" width="22.5703125" hidden="1" customWidth="1"/>
    <col min="12" max="12" width="17.85546875" bestFit="1" customWidth="1"/>
    <col min="13" max="13" width="12.140625" bestFit="1" customWidth="1"/>
    <col min="14" max="14" width="49.28515625" bestFit="1" customWidth="1"/>
    <col min="15" max="15" width="22.42578125" bestFit="1" customWidth="1"/>
    <col min="16" max="16" width="32.7109375" bestFit="1" customWidth="1"/>
    <col min="17" max="17" width="16.42578125" bestFit="1" customWidth="1"/>
    <col min="18" max="18" width="14.85546875" bestFit="1" customWidth="1"/>
    <col min="19" max="19" width="15.85546875" bestFit="1" customWidth="1"/>
    <col min="20" max="20" width="13" bestFit="1" customWidth="1"/>
  </cols>
  <sheetData>
    <row r="1" spans="1:20" s="25" customFormat="1" ht="12.75" hidden="1" x14ac:dyDescent="0.2">
      <c r="A1" s="25" t="s">
        <v>27</v>
      </c>
      <c r="B1" s="26" t="s">
        <v>1</v>
      </c>
      <c r="C1" s="26" t="s">
        <v>1</v>
      </c>
      <c r="D1" s="26" t="s">
        <v>1</v>
      </c>
      <c r="E1" s="26" t="s">
        <v>1</v>
      </c>
      <c r="F1" s="26" t="s">
        <v>1</v>
      </c>
      <c r="G1" s="26" t="s">
        <v>1</v>
      </c>
      <c r="H1" s="26"/>
      <c r="I1" s="25" t="s">
        <v>2</v>
      </c>
      <c r="J1" s="25" t="s">
        <v>2</v>
      </c>
      <c r="K1" s="25" t="s">
        <v>1</v>
      </c>
      <c r="L1" s="25" t="s">
        <v>2</v>
      </c>
      <c r="M1" s="25" t="s">
        <v>2</v>
      </c>
      <c r="N1" s="25" t="s">
        <v>2</v>
      </c>
      <c r="O1" s="25" t="s">
        <v>2</v>
      </c>
      <c r="P1" s="25" t="s">
        <v>2</v>
      </c>
      <c r="Q1" s="25" t="s">
        <v>2</v>
      </c>
      <c r="R1" s="25" t="s">
        <v>2</v>
      </c>
      <c r="S1" s="25" t="s">
        <v>2</v>
      </c>
      <c r="T1" s="25" t="s">
        <v>2</v>
      </c>
    </row>
    <row r="2" spans="1:20" s="25" customFormat="1" hidden="1" x14ac:dyDescent="0.25">
      <c r="A2" s="25" t="s">
        <v>1</v>
      </c>
      <c r="B2" s="25" t="s">
        <v>3</v>
      </c>
      <c r="C2" s="27">
        <f ca="1">DATE(IF(MONTH(TODAY())&gt;=10,YEAR(TODAY()),YEAR(TODAY())-1),10,1)</f>
        <v>45566</v>
      </c>
      <c r="D2" s="28"/>
      <c r="E2" s="28"/>
      <c r="F2" s="28"/>
      <c r="G2" s="28"/>
      <c r="H2" s="28"/>
    </row>
    <row r="3" spans="1:20" s="25" customFormat="1" hidden="1" x14ac:dyDescent="0.25">
      <c r="A3" s="25" t="s">
        <v>1</v>
      </c>
      <c r="B3" s="25" t="s">
        <v>4</v>
      </c>
      <c r="C3" s="27">
        <f ca="1">EOMONTH(TODAY(),0)</f>
        <v>45688</v>
      </c>
      <c r="D3" s="28"/>
      <c r="E3" s="28"/>
      <c r="F3" s="28"/>
      <c r="G3" s="28"/>
      <c r="H3" s="28"/>
    </row>
    <row r="4" spans="1:20" s="25" customFormat="1" ht="12.75" hidden="1" x14ac:dyDescent="0.2">
      <c r="A4" s="26" t="s">
        <v>1</v>
      </c>
      <c r="B4" s="25" t="s">
        <v>5</v>
      </c>
      <c r="C4" s="29" t="str">
        <f>DateFilter</f>
        <v>..9/30/2020</v>
      </c>
      <c r="D4" s="29"/>
      <c r="E4" s="29"/>
      <c r="F4" s="29"/>
      <c r="G4" s="29"/>
      <c r="H4" s="29"/>
    </row>
    <row r="5" spans="1:20" s="25" customFormat="1" ht="12.75" x14ac:dyDescent="0.2">
      <c r="A5" s="26"/>
      <c r="B5" s="25" t="s">
        <v>28</v>
      </c>
      <c r="C5" s="29" t="str">
        <f>Grant</f>
        <v>343 FIA UT 5101</v>
      </c>
      <c r="D5" s="29"/>
      <c r="E5" s="29"/>
      <c r="F5" s="29"/>
      <c r="G5" s="29"/>
      <c r="H5" s="29"/>
    </row>
    <row r="6" spans="1:20" x14ac:dyDescent="0.25">
      <c r="A6" s="25"/>
      <c r="B6" s="25" t="s">
        <v>29</v>
      </c>
      <c r="C6" s="29" t="str">
        <f>Grant</f>
        <v>343 FIA UT 5101</v>
      </c>
      <c r="D6" s="29"/>
      <c r="E6" s="29"/>
      <c r="F6" s="25"/>
      <c r="G6" s="25"/>
      <c r="H6" s="30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</row>
    <row r="7" spans="1:20" ht="23.25" x14ac:dyDescent="0.35">
      <c r="A7" s="25"/>
      <c r="B7" s="25" t="s">
        <v>7</v>
      </c>
      <c r="C7" s="29"/>
      <c r="D7" s="29"/>
      <c r="E7" s="29"/>
      <c r="F7" s="25"/>
      <c r="G7" s="25"/>
      <c r="H7" s="30"/>
      <c r="I7" s="56" t="s">
        <v>9</v>
      </c>
      <c r="J7" s="56"/>
      <c r="K7" s="56"/>
      <c r="L7" s="31"/>
      <c r="M7" s="31"/>
      <c r="N7" s="31"/>
      <c r="O7" s="31"/>
      <c r="P7" s="31"/>
      <c r="Q7" s="31"/>
      <c r="R7" s="31"/>
      <c r="S7" s="31"/>
      <c r="T7" s="31"/>
    </row>
    <row r="8" spans="1:20" x14ac:dyDescent="0.25">
      <c r="A8" s="25"/>
      <c r="B8" s="25" t="s">
        <v>10</v>
      </c>
      <c r="C8" s="29"/>
      <c r="D8" s="29"/>
      <c r="E8" s="29"/>
      <c r="F8" s="25"/>
      <c r="G8" s="25"/>
      <c r="H8" s="30"/>
      <c r="I8" s="57" t="str">
        <f ca="1">"For the Period of "&amp;TEXT($C$2,"MMMM D, YYYY")&amp;" through "&amp;TEXT($C$3,"MMMM D, YYYY")</f>
        <v>For the Period of October 1, 2024 through January 31, 2025</v>
      </c>
      <c r="J8" s="57"/>
      <c r="K8" s="57"/>
      <c r="L8" s="57"/>
      <c r="M8" s="57"/>
      <c r="N8" s="31"/>
      <c r="O8" s="31"/>
      <c r="P8" s="31"/>
      <c r="Q8" s="31"/>
      <c r="R8" s="31"/>
      <c r="S8" s="31"/>
      <c r="T8" s="31"/>
    </row>
    <row r="9" spans="1:20" x14ac:dyDescent="0.25">
      <c r="A9" s="25"/>
      <c r="B9" s="25" t="s">
        <v>11</v>
      </c>
      <c r="C9" s="32" t="str">
        <f ca="1">YEAR($C$2)&amp;"/0"</f>
        <v>2024/0</v>
      </c>
      <c r="D9" s="29"/>
      <c r="E9" s="29"/>
      <c r="F9" s="25"/>
      <c r="G9" s="25"/>
      <c r="H9" s="30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</row>
    <row r="10" spans="1:20" x14ac:dyDescent="0.25">
      <c r="A10" s="25"/>
      <c r="B10" s="25" t="s">
        <v>12</v>
      </c>
      <c r="C10" s="25"/>
      <c r="D10" s="32"/>
      <c r="E10" s="32"/>
      <c r="F10" s="25"/>
      <c r="G10" s="25"/>
      <c r="H10" s="30"/>
      <c r="I10" s="31" t="str">
        <f>B6</f>
        <v>Contract</v>
      </c>
      <c r="J10" s="33" t="str">
        <f>C6</f>
        <v>343 FIA UT 5101</v>
      </c>
      <c r="K10" s="34"/>
      <c r="L10" s="33"/>
      <c r="M10" s="31"/>
      <c r="N10" s="31"/>
      <c r="O10" s="31"/>
      <c r="P10" s="31"/>
      <c r="Q10" s="31"/>
      <c r="R10" s="31"/>
      <c r="S10" s="31"/>
      <c r="T10" s="31"/>
    </row>
    <row r="11" spans="1:20" x14ac:dyDescent="0.25">
      <c r="A11" s="25"/>
      <c r="B11" s="25"/>
      <c r="C11" s="25"/>
      <c r="D11" s="25"/>
      <c r="E11" s="25"/>
      <c r="F11" s="25"/>
      <c r="G11" s="25"/>
      <c r="H11" s="30"/>
      <c r="I11" s="31" t="str">
        <f>B7</f>
        <v>Location</v>
      </c>
      <c r="J11" s="33"/>
      <c r="K11" s="31"/>
      <c r="L11" s="35"/>
      <c r="M11" s="31"/>
      <c r="N11" s="31"/>
      <c r="O11" s="31"/>
      <c r="P11" s="31"/>
      <c r="Q11" s="31"/>
      <c r="R11" s="31"/>
      <c r="S11" s="31"/>
      <c r="T11" s="31"/>
    </row>
    <row r="12" spans="1:20" x14ac:dyDescent="0.25">
      <c r="A12" s="25"/>
      <c r="B12" s="25"/>
      <c r="C12" s="25"/>
      <c r="D12" s="25"/>
      <c r="E12" s="25"/>
      <c r="F12" s="25"/>
      <c r="G12" s="25"/>
      <c r="H12" s="30"/>
      <c r="I12" s="31" t="str">
        <f>B8</f>
        <v>Company</v>
      </c>
      <c r="J12" s="33"/>
      <c r="K12" s="31"/>
      <c r="L12" s="31"/>
      <c r="M12" s="31"/>
      <c r="N12" s="31"/>
      <c r="O12" s="31"/>
      <c r="P12" s="31"/>
      <c r="Q12" s="31"/>
      <c r="R12" s="36" t="s">
        <v>13</v>
      </c>
      <c r="S12" s="37">
        <v>45668</v>
      </c>
      <c r="T12" s="31"/>
    </row>
    <row r="15" spans="1:20" x14ac:dyDescent="0.25">
      <c r="A15" s="25"/>
      <c r="B15" s="25"/>
      <c r="C15" s="25"/>
      <c r="D15" s="25"/>
      <c r="E15" s="25"/>
      <c r="F15" s="25"/>
      <c r="G15" s="25"/>
      <c r="H15" s="30"/>
      <c r="I15" s="38" t="s">
        <v>14</v>
      </c>
      <c r="J15" s="38" t="s">
        <v>15</v>
      </c>
      <c r="K15" s="38"/>
      <c r="L15" s="38" t="s">
        <v>16</v>
      </c>
      <c r="M15" s="38" t="s">
        <v>17</v>
      </c>
      <c r="N15" s="38" t="s">
        <v>18</v>
      </c>
      <c r="O15" s="38" t="s">
        <v>19</v>
      </c>
      <c r="P15" s="38" t="s">
        <v>20</v>
      </c>
      <c r="Q15" s="38" t="s">
        <v>30</v>
      </c>
      <c r="R15" s="38" t="s">
        <v>22</v>
      </c>
      <c r="S15" s="38" t="s">
        <v>23</v>
      </c>
      <c r="T15" s="38" t="s">
        <v>24</v>
      </c>
    </row>
    <row r="18" spans="1:20" s="31" customFormat="1" ht="12.75" x14ac:dyDescent="0.2">
      <c r="A18" s="25" t="s">
        <v>25</v>
      </c>
      <c r="B18" s="25"/>
      <c r="C18" s="25"/>
      <c r="D18" s="25"/>
      <c r="E18" s="25"/>
      <c r="F18" s="25" t="str">
        <f>"5021-0-6000-3430"</f>
        <v>5021-0-6000-3430</v>
      </c>
      <c r="G18" s="25" t="str">
        <f>"5021-0-6000-3430"</f>
        <v>5021-0-6000-3430</v>
      </c>
      <c r="H18" s="30"/>
      <c r="I18" s="40" t="str">
        <f>G18</f>
        <v>5021-0-6000-3430</v>
      </c>
      <c r="J18" s="40" t="str">
        <f>"Professional and Technical Services"</f>
        <v>Professional and Technical Services</v>
      </c>
      <c r="Q18" s="40"/>
      <c r="R18" s="41"/>
    </row>
    <row r="19" spans="1:20" s="31" customFormat="1" x14ac:dyDescent="0.25">
      <c r="A19" s="25" t="s">
        <v>25</v>
      </c>
      <c r="B19" s="42"/>
      <c r="C19" s="42"/>
      <c r="D19" s="25"/>
      <c r="E19" s="25"/>
      <c r="F19" s="42" t="e">
        <f>#REF!</f>
        <v>#REF!</v>
      </c>
      <c r="G19" s="42" t="e">
        <f>#REF!</f>
        <v>#REF!</v>
      </c>
      <c r="H19" s="43"/>
      <c r="K19" s="31" t="str">
        <f>"""GP"",""Ute Indian Tribe Membership Fund"",""aaa_contract_detail_sp"",""JRNENTRY"",""1573921"",""aaGLHdrID"",""1741733"",""aaGLDistID"",""2"",""aaGLAssignID"",""1"",""contract"",""343 FIA UT 5101"""</f>
        <v>"GP","Ute Indian Tribe Membership Fund","aaa_contract_detail_sp","JRNENTRY","1573921","aaGLHdrID","1741733","aaGLDistID","2","aaGLAssignID","1","contract","343 FIA UT 5101"</v>
      </c>
      <c r="L19" s="44">
        <v>45610</v>
      </c>
      <c r="M19" s="31">
        <v>1573921</v>
      </c>
      <c r="N19" s="31" t="str">
        <f>"WIPFLI LLP"</f>
        <v>WIPFLI LLP</v>
      </c>
      <c r="O19" s="31" t="str">
        <f>"2594767"</f>
        <v>2594767</v>
      </c>
      <c r="P19" s="31" t="str">
        <f>"URHS Annual Audit 2024"</f>
        <v>URHS Annual Audit 2024</v>
      </c>
      <c r="Q19" s="45" t="str">
        <f>"00000000456640"</f>
        <v>00000000456640</v>
      </c>
      <c r="R19" s="46">
        <v>13858</v>
      </c>
      <c r="S19" s="46">
        <v>0</v>
      </c>
      <c r="T19" s="47">
        <f t="shared" ref="T19:T20" si="0">SUM(R19:S19)</f>
        <v>13858</v>
      </c>
    </row>
    <row r="20" spans="1:20" s="31" customFormat="1" x14ac:dyDescent="0.25">
      <c r="A20" s="25" t="s">
        <v>25</v>
      </c>
      <c r="B20" s="42"/>
      <c r="C20" s="42"/>
      <c r="D20" s="25"/>
      <c r="E20" s="25"/>
      <c r="F20" s="42" t="e">
        <f t="shared" ref="F20:G20" si="1">F19</f>
        <v>#REF!</v>
      </c>
      <c r="G20" s="42" t="e">
        <f t="shared" si="1"/>
        <v>#REF!</v>
      </c>
      <c r="H20" s="43"/>
      <c r="K20" s="31" t="str">
        <f>"""GP"",""Ute Indian Tribe Membership Fund"",""aaa_contract_detail_sp"",""JRNENTRY"",""1580325"",""aaGLHdrID"",""1748117"",""aaGLDistID"",""2"",""aaGLAssignID"",""1"",""contract"",""343 FIA UT 5101"""</f>
        <v>"GP","Ute Indian Tribe Membership Fund","aaa_contract_detail_sp","JRNENTRY","1580325","aaGLHdrID","1748117","aaGLDistID","2","aaGLAssignID","1","contract","343 FIA UT 5101"</v>
      </c>
      <c r="L20" s="44">
        <v>45626</v>
      </c>
      <c r="M20" s="31">
        <v>1580325</v>
      </c>
      <c r="N20" s="31" t="str">
        <f>"WIPFLI LLP"</f>
        <v>WIPFLI LLP</v>
      </c>
      <c r="O20" s="31" t="str">
        <f>"2608687"</f>
        <v>2608687</v>
      </c>
      <c r="P20" s="31" t="str">
        <f>"Annual Audit Fees"</f>
        <v>Annual Audit Fees</v>
      </c>
      <c r="Q20" s="45" t="str">
        <f>"00000000457903"</f>
        <v>00000000457903</v>
      </c>
      <c r="R20" s="46">
        <v>10885.58</v>
      </c>
      <c r="S20" s="46">
        <v>0</v>
      </c>
      <c r="T20" s="47">
        <f t="shared" si="0"/>
        <v>10885.58</v>
      </c>
    </row>
    <row r="21" spans="1:20" s="31" customFormat="1" x14ac:dyDescent="0.25">
      <c r="A21" s="25" t="s">
        <v>25</v>
      </c>
      <c r="B21" s="42"/>
      <c r="C21" s="42"/>
      <c r="D21" s="25"/>
      <c r="E21" s="25"/>
      <c r="F21" s="42" t="e">
        <f>#REF!</f>
        <v>#REF!</v>
      </c>
      <c r="G21" s="42" t="e">
        <f>#REF!</f>
        <v>#REF!</v>
      </c>
      <c r="H21" s="43"/>
    </row>
    <row r="22" spans="1:20" s="31" customFormat="1" ht="12.75" x14ac:dyDescent="0.2">
      <c r="A22" s="25" t="s">
        <v>25</v>
      </c>
      <c r="B22" s="25"/>
      <c r="C22" s="25"/>
      <c r="D22" s="25"/>
      <c r="E22" s="25"/>
      <c r="F22" s="25"/>
      <c r="G22" s="25"/>
      <c r="H22" s="30"/>
      <c r="I22" s="54" t="str">
        <f>I18&amp;"   "&amp;J18&amp;"         Total:"</f>
        <v>5021-0-6000-3430   Professional and Technical Services         Total:</v>
      </c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48">
        <f>SUBTOTAL(9,T19:T21)</f>
        <v>24743.58</v>
      </c>
    </row>
    <row r="23" spans="1:20" s="31" customFormat="1" ht="12.75" x14ac:dyDescent="0.2">
      <c r="A23" s="25" t="s">
        <v>25</v>
      </c>
      <c r="B23" s="25"/>
      <c r="C23" s="25"/>
      <c r="D23" s="25"/>
      <c r="E23" s="25"/>
      <c r="F23" s="25"/>
      <c r="G23" s="25"/>
      <c r="H23" s="30"/>
    </row>
    <row r="24" spans="1:20" s="31" customFormat="1" ht="12.75" x14ac:dyDescent="0.2">
      <c r="A24" s="25" t="s">
        <v>25</v>
      </c>
      <c r="B24" s="25"/>
      <c r="C24" s="25"/>
      <c r="D24" s="25"/>
      <c r="E24" s="25"/>
      <c r="F24" s="25" t="str">
        <f>"5021-0-6150-3430"</f>
        <v>5021-0-6150-3430</v>
      </c>
      <c r="G24" s="25" t="str">
        <f>"5021-0-6150-3430"</f>
        <v>5021-0-6150-3430</v>
      </c>
      <c r="H24" s="30"/>
      <c r="I24" s="40" t="str">
        <f>G24</f>
        <v>5021-0-6150-3430</v>
      </c>
      <c r="J24" s="40" t="str">
        <f>"Travel"</f>
        <v>Travel</v>
      </c>
      <c r="Q24" s="40"/>
      <c r="R24" s="41"/>
    </row>
    <row r="25" spans="1:20" s="31" customFormat="1" x14ac:dyDescent="0.25">
      <c r="A25" s="25" t="s">
        <v>25</v>
      </c>
      <c r="B25" s="42"/>
      <c r="C25" s="42"/>
      <c r="D25" s="25"/>
      <c r="E25" s="25"/>
      <c r="F25" s="42" t="e">
        <f>#REF!</f>
        <v>#REF!</v>
      </c>
      <c r="G25" s="42" t="e">
        <f>#REF!</f>
        <v>#REF!</v>
      </c>
      <c r="H25" s="43"/>
      <c r="K25" s="31" t="str">
        <f>"""GP"",""Ute Indian Tribe Membership Fund"",""aaa_contract_detail_sp"",""JRNENTRY"",""1569789"",""aaGLHdrID"",""1737594"",""aaGLDistID"",""1"",""aaGLAssignID"",""1"",""contract"",""343 FIA UT 5101"""</f>
        <v>"GP","Ute Indian Tribe Membership Fund","aaa_contract_detail_sp","JRNENTRY","1569789","aaGLHdrID","1737594","aaGLDistID","1","aaGLAssignID","1","contract","343 FIA UT 5101"</v>
      </c>
      <c r="L25" s="44">
        <v>45600</v>
      </c>
      <c r="M25" s="31">
        <v>1569789</v>
      </c>
      <c r="N25" s="31" t="str">
        <f>"Wesley Nielson"</f>
        <v>Wesley Nielson</v>
      </c>
      <c r="O25" s="31" t="str">
        <f>"TA0176/2025"</f>
        <v>TA0176/2025</v>
      </c>
      <c r="P25" s="31" t="str">
        <f>"PARK CITY UT 11/10-11/2024"</f>
        <v>PARK CITY UT 11/10-11/2024</v>
      </c>
      <c r="Q25" s="45" t="str">
        <f>"00000000455627"</f>
        <v>00000000455627</v>
      </c>
      <c r="R25" s="46">
        <v>525.16</v>
      </c>
      <c r="S25" s="46">
        <v>0</v>
      </c>
      <c r="T25" s="47">
        <f t="shared" ref="T25:T42" si="2">SUM(R25:S25)</f>
        <v>525.16</v>
      </c>
    </row>
    <row r="26" spans="1:20" s="31" customFormat="1" x14ac:dyDescent="0.25">
      <c r="A26" s="25" t="s">
        <v>25</v>
      </c>
      <c r="B26" s="42"/>
      <c r="C26" s="42"/>
      <c r="D26" s="25"/>
      <c r="E26" s="25"/>
      <c r="F26" s="42" t="e">
        <f t="shared" ref="F26:G41" si="3">F25</f>
        <v>#REF!</v>
      </c>
      <c r="G26" s="42" t="e">
        <f t="shared" si="3"/>
        <v>#REF!</v>
      </c>
      <c r="H26" s="43"/>
      <c r="K26" s="31" t="str">
        <f>"""GP"",""Ute Indian Tribe Membership Fund"",""aaa_contract_detail_sp"",""JRNENTRY"",""1571732"",""aaGLHdrID"",""1739446"",""aaGLDistID"",""1"",""aaGLAssignID"",""1"",""contract"",""343 FIA UT 5101"""</f>
        <v>"GP","Ute Indian Tribe Membership Fund","aaa_contract_detail_sp","JRNENTRY","1571732","aaGLHdrID","1739446","aaGLDistID","1","aaGLAssignID","1","contract","343 FIA UT 5101"</v>
      </c>
      <c r="L26" s="44">
        <v>45602</v>
      </c>
      <c r="M26" s="31">
        <v>1571732</v>
      </c>
      <c r="N26" s="31" t="str">
        <f>"ALEJANDRO VAZQUEZ"</f>
        <v>ALEJANDRO VAZQUEZ</v>
      </c>
      <c r="O26" s="31" t="str">
        <f>"TA0206/2025"</f>
        <v>TA0206/2025</v>
      </c>
      <c r="P26" s="31" t="str">
        <f>"SaltLakeCity,UT 11/23/2024"</f>
        <v>SaltLakeCity,UT 11/23/2024</v>
      </c>
      <c r="Q26" s="45" t="str">
        <f>"00000000455995"</f>
        <v>00000000455995</v>
      </c>
      <c r="R26" s="46">
        <v>55.5</v>
      </c>
      <c r="S26" s="46">
        <v>0</v>
      </c>
      <c r="T26" s="47">
        <f t="shared" si="2"/>
        <v>55.5</v>
      </c>
    </row>
    <row r="27" spans="1:20" s="31" customFormat="1" x14ac:dyDescent="0.25">
      <c r="A27" s="25" t="s">
        <v>25</v>
      </c>
      <c r="B27" s="42"/>
      <c r="C27" s="42"/>
      <c r="D27" s="25"/>
      <c r="E27" s="25"/>
      <c r="F27" s="42" t="e">
        <f t="shared" si="3"/>
        <v>#REF!</v>
      </c>
      <c r="G27" s="42" t="e">
        <f t="shared" si="3"/>
        <v>#REF!</v>
      </c>
      <c r="H27" s="43"/>
      <c r="K27" s="31" t="str">
        <f>"""GP"",""Ute Indian Tribe Membership Fund"",""aaa_contract_detail_sp"",""JRNENTRY"",""1572475"",""aaGLHdrID"",""1740048"",""aaGLDistID"",""1"",""aaGLAssignID"",""1"",""contract"",""343 FIA UT 5101"""</f>
        <v>"GP","Ute Indian Tribe Membership Fund","aaa_contract_detail_sp","JRNENTRY","1572475","aaGLHdrID","1740048","aaGLDistID","1","aaGLAssignID","1","contract","343 FIA UT 5101"</v>
      </c>
      <c r="L27" s="44">
        <v>45608</v>
      </c>
      <c r="M27" s="31">
        <v>1572475</v>
      </c>
      <c r="N27" s="31" t="str">
        <f>"TAMMIE ESPLIN"</f>
        <v>TAMMIE ESPLIN</v>
      </c>
      <c r="O27" s="31" t="str">
        <f>"TA0207/2025"</f>
        <v>TA0207/2025</v>
      </c>
      <c r="P27" s="31" t="str">
        <f>"SALT LAKE CITY UT 11/23/2024"</f>
        <v>SALT LAKE CITY UT 11/23/2024</v>
      </c>
      <c r="Q27" s="45" t="str">
        <f>"00000000456145"</f>
        <v>00000000456145</v>
      </c>
      <c r="R27" s="46">
        <v>55.5</v>
      </c>
      <c r="S27" s="46">
        <v>0</v>
      </c>
      <c r="T27" s="47">
        <f t="shared" si="2"/>
        <v>55.5</v>
      </c>
    </row>
    <row r="28" spans="1:20" s="31" customFormat="1" x14ac:dyDescent="0.25">
      <c r="A28" s="25" t="s">
        <v>25</v>
      </c>
      <c r="B28" s="42"/>
      <c r="C28" s="42"/>
      <c r="D28" s="25"/>
      <c r="E28" s="25"/>
      <c r="F28" s="42" t="e">
        <f t="shared" si="3"/>
        <v>#REF!</v>
      </c>
      <c r="G28" s="42" t="e">
        <f t="shared" si="3"/>
        <v>#REF!</v>
      </c>
      <c r="H28" s="43"/>
      <c r="K28" s="31" t="str">
        <f>"""GP"",""Ute Indian Tribe Membership Fund"",""aaa_contract_detail_sp"",""JRNENTRY"",""1573309"",""aaGLHdrID"",""1740999"",""aaGLDistID"",""1"",""aaGLAssignID"",""1"",""contract"",""343 FIA UT 5101"""</f>
        <v>"GP","Ute Indian Tribe Membership Fund","aaa_contract_detail_sp","JRNENTRY","1573309","aaGLHdrID","1740999","aaGLDistID","1","aaGLAssignID","1","contract","343 FIA UT 5101"</v>
      </c>
      <c r="L28" s="44">
        <v>45609</v>
      </c>
      <c r="M28" s="31">
        <v>1573309</v>
      </c>
      <c r="N28" s="31" t="str">
        <f>"Venice Shavanaux"</f>
        <v>Venice Shavanaux</v>
      </c>
      <c r="O28" s="31" t="str">
        <f>""</f>
        <v/>
      </c>
      <c r="P28" s="31" t="str">
        <f>""</f>
        <v/>
      </c>
      <c r="Q28" s="45" t="str">
        <f>""</f>
        <v/>
      </c>
      <c r="R28" s="46">
        <v>0</v>
      </c>
      <c r="S28" s="46">
        <v>-55.5</v>
      </c>
      <c r="T28" s="47">
        <f t="shared" si="2"/>
        <v>-55.5</v>
      </c>
    </row>
    <row r="29" spans="1:20" s="31" customFormat="1" x14ac:dyDescent="0.25">
      <c r="A29" s="25" t="s">
        <v>25</v>
      </c>
      <c r="B29" s="42"/>
      <c r="C29" s="42"/>
      <c r="D29" s="25"/>
      <c r="E29" s="25"/>
      <c r="F29" s="42" t="e">
        <f t="shared" si="3"/>
        <v>#REF!</v>
      </c>
      <c r="G29" s="42" t="e">
        <f t="shared" si="3"/>
        <v>#REF!</v>
      </c>
      <c r="H29" s="43"/>
      <c r="K29" s="31" t="str">
        <f>"""GP"",""Ute Indian Tribe Membership Fund"",""aaa_contract_detail_sp"",""JRNENTRY"",""1573310"",""aaGLHdrID"",""1741000"",""aaGLDistID"",""1"",""aaGLAssignID"",""1"",""contract"",""343 FIA UT 5101"""</f>
        <v>"GP","Ute Indian Tribe Membership Fund","aaa_contract_detail_sp","JRNENTRY","1573310","aaGLHdrID","1741000","aaGLDistID","1","aaGLAssignID","1","contract","343 FIA UT 5101"</v>
      </c>
      <c r="L29" s="44">
        <v>45609</v>
      </c>
      <c r="M29" s="31">
        <v>1573310</v>
      </c>
      <c r="N29" s="31" t="str">
        <f>"TAMMIE ESPLIN"</f>
        <v>TAMMIE ESPLIN</v>
      </c>
      <c r="O29" s="31" t="str">
        <f>""</f>
        <v/>
      </c>
      <c r="P29" s="31" t="str">
        <f>""</f>
        <v/>
      </c>
      <c r="Q29" s="45" t="str">
        <f>""</f>
        <v/>
      </c>
      <c r="R29" s="46">
        <v>0</v>
      </c>
      <c r="S29" s="46">
        <v>-55.5</v>
      </c>
      <c r="T29" s="47">
        <f t="shared" si="2"/>
        <v>-55.5</v>
      </c>
    </row>
    <row r="30" spans="1:20" s="31" customFormat="1" x14ac:dyDescent="0.25">
      <c r="A30" s="25" t="s">
        <v>25</v>
      </c>
      <c r="B30" s="42"/>
      <c r="C30" s="42"/>
      <c r="D30" s="25"/>
      <c r="E30" s="25"/>
      <c r="F30" s="42" t="e">
        <f t="shared" si="3"/>
        <v>#REF!</v>
      </c>
      <c r="G30" s="42" t="e">
        <f t="shared" si="3"/>
        <v>#REF!</v>
      </c>
      <c r="H30" s="43"/>
      <c r="K30" s="31" t="str">
        <f>"""GP"",""Ute Indian Tribe Membership Fund"",""aaa_contract_detail_sp"",""JRNENTRY"",""1573311"",""aaGLHdrID"",""1741001"",""aaGLDistID"",""1"",""aaGLAssignID"",""1"",""contract"",""343 FIA UT 5101"""</f>
        <v>"GP","Ute Indian Tribe Membership Fund","aaa_contract_detail_sp","JRNENTRY","1573311","aaGLHdrID","1741001","aaGLDistID","1","aaGLAssignID","1","contract","343 FIA UT 5101"</v>
      </c>
      <c r="L30" s="44">
        <v>45609</v>
      </c>
      <c r="M30" s="31">
        <v>1573311</v>
      </c>
      <c r="N30" s="31" t="str">
        <f>"Benjamin Fagnant"</f>
        <v>Benjamin Fagnant</v>
      </c>
      <c r="O30" s="31" t="str">
        <f>""</f>
        <v/>
      </c>
      <c r="P30" s="31" t="str">
        <f>""</f>
        <v/>
      </c>
      <c r="Q30" s="45" t="str">
        <f>""</f>
        <v/>
      </c>
      <c r="R30" s="46">
        <v>0</v>
      </c>
      <c r="S30" s="46">
        <v>-55.5</v>
      </c>
      <c r="T30" s="47">
        <f t="shared" si="2"/>
        <v>-55.5</v>
      </c>
    </row>
    <row r="31" spans="1:20" s="31" customFormat="1" x14ac:dyDescent="0.25">
      <c r="A31" s="25" t="s">
        <v>25</v>
      </c>
      <c r="B31" s="42"/>
      <c r="C31" s="42"/>
      <c r="D31" s="25"/>
      <c r="E31" s="25"/>
      <c r="F31" s="42" t="e">
        <f t="shared" si="3"/>
        <v>#REF!</v>
      </c>
      <c r="G31" s="42" t="e">
        <f t="shared" si="3"/>
        <v>#REF!</v>
      </c>
      <c r="H31" s="43"/>
      <c r="K31" s="31" t="str">
        <f>"""GP"",""Ute Indian Tribe Membership Fund"",""aaa_contract_detail_sp"",""JRNENTRY"",""1573764"",""aaGLHdrID"",""1741485"",""aaGLDistID"",""1"",""aaGLAssignID"",""1"",""contract"",""343 FIA UT 5101"""</f>
        <v>"GP","Ute Indian Tribe Membership Fund","aaa_contract_detail_sp","JRNENTRY","1573764","aaGLHdrID","1741485","aaGLDistID","1","aaGLAssignID","1","contract","343 FIA UT 5101"</v>
      </c>
      <c r="L31" s="44">
        <v>45614</v>
      </c>
      <c r="M31" s="31">
        <v>1573764</v>
      </c>
      <c r="N31" s="31" t="str">
        <f>"Ronee K Wopsock-Pawwinnee"</f>
        <v>Ronee K Wopsock-Pawwinnee</v>
      </c>
      <c r="O31" s="31" t="str">
        <f>"TA0237/2025"</f>
        <v>TA0237/2025</v>
      </c>
      <c r="P31" s="31" t="str">
        <f>"SaltLakeCity,UT 12/8-10/2024"</f>
        <v>SaltLakeCity,UT 12/8-10/2024</v>
      </c>
      <c r="Q31" s="45" t="str">
        <f>"00000000456562"</f>
        <v>00000000456562</v>
      </c>
      <c r="R31" s="46">
        <v>200</v>
      </c>
      <c r="S31" s="46">
        <v>0</v>
      </c>
      <c r="T31" s="47">
        <f t="shared" si="2"/>
        <v>200</v>
      </c>
    </row>
    <row r="32" spans="1:20" s="31" customFormat="1" x14ac:dyDescent="0.25">
      <c r="A32" s="25" t="s">
        <v>25</v>
      </c>
      <c r="B32" s="42"/>
      <c r="C32" s="42"/>
      <c r="D32" s="25"/>
      <c r="E32" s="25"/>
      <c r="F32" s="42" t="e">
        <f t="shared" si="3"/>
        <v>#REF!</v>
      </c>
      <c r="G32" s="42" t="e">
        <f t="shared" si="3"/>
        <v>#REF!</v>
      </c>
      <c r="H32" s="43"/>
      <c r="K32" s="31" t="str">
        <f>"""GP"",""Ute Indian Tribe Membership Fund"",""aaa_contract_detail_sp"",""JRNENTRY"",""1573765"",""aaGLHdrID"",""1741486"",""aaGLDistID"",""1"",""aaGLAssignID"",""1"",""contract"",""343 FIA UT 5101"""</f>
        <v>"GP","Ute Indian Tribe Membership Fund","aaa_contract_detail_sp","JRNENTRY","1573765","aaGLHdrID","1741486","aaGLDistID","1","aaGLAssignID","1","contract","343 FIA UT 5101"</v>
      </c>
      <c r="L32" s="44">
        <v>45614</v>
      </c>
      <c r="M32" s="31">
        <v>1573765</v>
      </c>
      <c r="N32" s="31" t="str">
        <f>"Brittany A. Luck"</f>
        <v>Brittany A. Luck</v>
      </c>
      <c r="O32" s="31" t="str">
        <f>"TA0236/2025"</f>
        <v>TA0236/2025</v>
      </c>
      <c r="P32" s="31" t="str">
        <f>"SaltLakeCity,UT 12/8-9/2024"</f>
        <v>SaltLakeCity,UT 12/8-9/2024</v>
      </c>
      <c r="Q32" s="45" t="str">
        <f>"00000000456556"</f>
        <v>00000000456556</v>
      </c>
      <c r="R32" s="46">
        <v>200</v>
      </c>
      <c r="S32" s="46">
        <v>0</v>
      </c>
      <c r="T32" s="47">
        <f t="shared" si="2"/>
        <v>200</v>
      </c>
    </row>
    <row r="33" spans="1:20" s="31" customFormat="1" x14ac:dyDescent="0.25">
      <c r="A33" s="25" t="s">
        <v>25</v>
      </c>
      <c r="B33" s="42"/>
      <c r="C33" s="42"/>
      <c r="D33" s="25"/>
      <c r="E33" s="25"/>
      <c r="F33" s="42" t="e">
        <f t="shared" si="3"/>
        <v>#REF!</v>
      </c>
      <c r="G33" s="42" t="e">
        <f t="shared" si="3"/>
        <v>#REF!</v>
      </c>
      <c r="H33" s="43"/>
      <c r="K33" s="31" t="str">
        <f>"""GP"",""Ute Indian Tribe Membership Fund"",""aaa_contract_detail_sp"",""JRNENTRY"",""1573766"",""aaGLHdrID"",""1741487"",""aaGLDistID"",""1"",""aaGLAssignID"",""1"",""contract"",""343 FIA UT 5101"""</f>
        <v>"GP","Ute Indian Tribe Membership Fund","aaa_contract_detail_sp","JRNENTRY","1573766","aaGLHdrID","1741487","aaGLDistID","1","aaGLAssignID","1","contract","343 FIA UT 5101"</v>
      </c>
      <c r="L33" s="44">
        <v>45614</v>
      </c>
      <c r="M33" s="31">
        <v>1573766</v>
      </c>
      <c r="N33" s="31" t="str">
        <f>"FITCHETTE, LORI"</f>
        <v>FITCHETTE, LORI</v>
      </c>
      <c r="O33" s="31" t="str">
        <f>"TA0235/2025"</f>
        <v>TA0235/2025</v>
      </c>
      <c r="P33" s="31" t="str">
        <f>"SalLakeCity,UT 12/8-10/2024"</f>
        <v>SalLakeCity,UT 12/8-10/2024</v>
      </c>
      <c r="Q33" s="45" t="str">
        <f>"00000000456554"</f>
        <v>00000000456554</v>
      </c>
      <c r="R33" s="46">
        <v>200</v>
      </c>
      <c r="S33" s="46">
        <v>0</v>
      </c>
      <c r="T33" s="47">
        <f t="shared" si="2"/>
        <v>200</v>
      </c>
    </row>
    <row r="34" spans="1:20" s="31" customFormat="1" x14ac:dyDescent="0.25">
      <c r="A34" s="25" t="s">
        <v>25</v>
      </c>
      <c r="B34" s="42"/>
      <c r="C34" s="42"/>
      <c r="D34" s="25"/>
      <c r="E34" s="25"/>
      <c r="F34" s="42" t="e">
        <f t="shared" si="3"/>
        <v>#REF!</v>
      </c>
      <c r="G34" s="42" t="e">
        <f t="shared" si="3"/>
        <v>#REF!</v>
      </c>
      <c r="H34" s="43"/>
      <c r="K34" s="31" t="str">
        <f>"""GP"",""Ute Indian Tribe Membership Fund"",""aaa_contract_detail_sp"",""JRNENTRY"",""1573767"",""aaGLHdrID"",""1741488"",""aaGLDistID"",""1"",""aaGLAssignID"",""1"",""contract"",""343 FIA UT 5101"""</f>
        <v>"GP","Ute Indian Tribe Membership Fund","aaa_contract_detail_sp","JRNENTRY","1573767","aaGLHdrID","1741488","aaGLDistID","1","aaGLAssignID","1","contract","343 FIA UT 5101"</v>
      </c>
      <c r="L34" s="44">
        <v>45614</v>
      </c>
      <c r="M34" s="31">
        <v>1573767</v>
      </c>
      <c r="N34" s="31" t="str">
        <f>"Failner, Shawna J"</f>
        <v>Failner, Shawna J</v>
      </c>
      <c r="O34" s="31" t="str">
        <f>"TA0234/2025"</f>
        <v>TA0234/2025</v>
      </c>
      <c r="P34" s="31" t="str">
        <f>"SaltLakeCity,UT 12/8-10/2024"</f>
        <v>SaltLakeCity,UT 12/8-10/2024</v>
      </c>
      <c r="Q34" s="45" t="str">
        <f>"00000000456553"</f>
        <v>00000000456553</v>
      </c>
      <c r="R34" s="46">
        <v>140</v>
      </c>
      <c r="S34" s="46">
        <v>0</v>
      </c>
      <c r="T34" s="47">
        <f t="shared" si="2"/>
        <v>140</v>
      </c>
    </row>
    <row r="35" spans="1:20" s="31" customFormat="1" x14ac:dyDescent="0.25">
      <c r="A35" s="25" t="s">
        <v>25</v>
      </c>
      <c r="B35" s="42"/>
      <c r="C35" s="42"/>
      <c r="D35" s="25"/>
      <c r="E35" s="25"/>
      <c r="F35" s="42" t="e">
        <f t="shared" si="3"/>
        <v>#REF!</v>
      </c>
      <c r="G35" s="42" t="e">
        <f t="shared" si="3"/>
        <v>#REF!</v>
      </c>
      <c r="H35" s="43"/>
      <c r="K35" s="31" t="str">
        <f>"""GP"",""Ute Indian Tribe Membership Fund"",""aaa_contract_detail_sp"",""JRNENTRY"",""1573768"",""aaGLHdrID"",""1741489"",""aaGLDistID"",""1"",""aaGLAssignID"",""1"",""contract"",""343 FIA UT 5101"""</f>
        <v>"GP","Ute Indian Tribe Membership Fund","aaa_contract_detail_sp","JRNENTRY","1573768","aaGLHdrID","1741489","aaGLDistID","1","aaGLAssignID","1","contract","343 FIA UT 5101"</v>
      </c>
      <c r="L35" s="44">
        <v>45614</v>
      </c>
      <c r="M35" s="31">
        <v>1573768</v>
      </c>
      <c r="N35" s="31" t="str">
        <f>"EMILY FITCHETTE"</f>
        <v>EMILY FITCHETTE</v>
      </c>
      <c r="O35" s="31" t="str">
        <f>"TA0233/2025"</f>
        <v>TA0233/2025</v>
      </c>
      <c r="P35" s="31" t="str">
        <f>"SaltLakeCity,UT 12/8-10/2024"</f>
        <v>SaltLakeCity,UT 12/8-10/2024</v>
      </c>
      <c r="Q35" s="45" t="str">
        <f>"00000000456555"</f>
        <v>00000000456555</v>
      </c>
      <c r="R35" s="46">
        <v>140</v>
      </c>
      <c r="S35" s="46">
        <v>0</v>
      </c>
      <c r="T35" s="47">
        <f t="shared" si="2"/>
        <v>140</v>
      </c>
    </row>
    <row r="36" spans="1:20" s="31" customFormat="1" x14ac:dyDescent="0.25">
      <c r="A36" s="25" t="s">
        <v>25</v>
      </c>
      <c r="B36" s="42"/>
      <c r="C36" s="42"/>
      <c r="D36" s="25"/>
      <c r="E36" s="25"/>
      <c r="F36" s="42" t="e">
        <f t="shared" si="3"/>
        <v>#REF!</v>
      </c>
      <c r="G36" s="42" t="e">
        <f t="shared" si="3"/>
        <v>#REF!</v>
      </c>
      <c r="H36" s="43"/>
      <c r="K36" s="31" t="str">
        <f>"""GP"",""Ute Indian Tribe Membership Fund"",""aaa_contract_detail_sp"",""JRNENTRY"",""1573769"",""aaGLHdrID"",""1741490"",""aaGLDistID"",""1"",""aaGLAssignID"",""1"",""contract"",""343 FIA UT 5101"""</f>
        <v>"GP","Ute Indian Tribe Membership Fund","aaa_contract_detail_sp","JRNENTRY","1573769","aaGLHdrID","1741490","aaGLDistID","1","aaGLAssignID","1","contract","343 FIA UT 5101"</v>
      </c>
      <c r="L36" s="44">
        <v>45614</v>
      </c>
      <c r="M36" s="31">
        <v>1573769</v>
      </c>
      <c r="N36" s="31" t="str">
        <f>"Megan Earl"</f>
        <v>Megan Earl</v>
      </c>
      <c r="O36" s="31" t="str">
        <f>"TA0232/2025"</f>
        <v>TA0232/2025</v>
      </c>
      <c r="P36" s="31" t="str">
        <f>"SaltLakeCity,UT 12/8-10/2024"</f>
        <v>SaltLakeCity,UT 12/8-10/2024</v>
      </c>
      <c r="Q36" s="45" t="str">
        <f>"00000000456552"</f>
        <v>00000000456552</v>
      </c>
      <c r="R36" s="46">
        <v>140</v>
      </c>
      <c r="S36" s="46">
        <v>0</v>
      </c>
      <c r="T36" s="47">
        <f t="shared" si="2"/>
        <v>140</v>
      </c>
    </row>
    <row r="37" spans="1:20" s="31" customFormat="1" x14ac:dyDescent="0.25">
      <c r="A37" s="25" t="s">
        <v>25</v>
      </c>
      <c r="B37" s="42"/>
      <c r="C37" s="42"/>
      <c r="D37" s="25"/>
      <c r="E37" s="25"/>
      <c r="F37" s="42" t="e">
        <f t="shared" si="3"/>
        <v>#REF!</v>
      </c>
      <c r="G37" s="42" t="e">
        <f t="shared" si="3"/>
        <v>#REF!</v>
      </c>
      <c r="H37" s="43"/>
      <c r="K37" s="31" t="str">
        <f>"""GP"",""Ute Indian Tribe Membership Fund"",""aaa_contract_detail_sp"",""JRNENTRY"",""1573770"",""aaGLHdrID"",""1741491"",""aaGLDistID"",""1"",""aaGLAssignID"",""1"",""contract"",""343 FIA UT 5101"""</f>
        <v>"GP","Ute Indian Tribe Membership Fund","aaa_contract_detail_sp","JRNENTRY","1573770","aaGLHdrID","1741491","aaGLDistID","1","aaGLAssignID","1","contract","343 FIA UT 5101"</v>
      </c>
      <c r="L37" s="44">
        <v>45614</v>
      </c>
      <c r="M37" s="31">
        <v>1573770</v>
      </c>
      <c r="N37" s="31" t="str">
        <f>"Brittany A. Luck"</f>
        <v>Brittany A. Luck</v>
      </c>
      <c r="O37" s="31" t="str">
        <f>"TA0238/2025"</f>
        <v>TA0238/2025</v>
      </c>
      <c r="P37" s="31" t="str">
        <f>"Midway, UT12/16/2024"</f>
        <v>Midway, UT12/16/2024</v>
      </c>
      <c r="Q37" s="45" t="str">
        <f>"00000000456557"</f>
        <v>00000000456557</v>
      </c>
      <c r="R37" s="46">
        <v>201.56</v>
      </c>
      <c r="S37" s="46">
        <v>0</v>
      </c>
      <c r="T37" s="47">
        <f t="shared" si="2"/>
        <v>201.56</v>
      </c>
    </row>
    <row r="38" spans="1:20" s="31" customFormat="1" x14ac:dyDescent="0.25">
      <c r="A38" s="25" t="s">
        <v>25</v>
      </c>
      <c r="B38" s="42"/>
      <c r="C38" s="42"/>
      <c r="D38" s="25"/>
      <c r="E38" s="25"/>
      <c r="F38" s="42" t="e">
        <f t="shared" si="3"/>
        <v>#REF!</v>
      </c>
      <c r="G38" s="42" t="e">
        <f t="shared" si="3"/>
        <v>#REF!</v>
      </c>
      <c r="H38" s="43"/>
      <c r="K38" s="31" t="str">
        <f>"""GP"",""Ute Indian Tribe Membership Fund"",""aaa_contract_detail_sp"",""JRNENTRY"",""1573854"",""aaGLHdrID"",""1741542"",""aaGLDistID"",""1"",""aaGLAssignID"",""1"",""contract"",""343 FIA UT 5101"""</f>
        <v>"GP","Ute Indian Tribe Membership Fund","aaa_contract_detail_sp","JRNENTRY","1573854","aaGLHdrID","1741542","aaGLDistID","1","aaGLAssignID","1","contract","343 FIA UT 5101"</v>
      </c>
      <c r="L38" s="44">
        <v>45614</v>
      </c>
      <c r="M38" s="31">
        <v>1573854</v>
      </c>
      <c r="N38" s="31" t="str">
        <f>"Brittany A. Luck"</f>
        <v>Brittany A. Luck</v>
      </c>
      <c r="O38" s="31" t="str">
        <f>""</f>
        <v/>
      </c>
      <c r="P38" s="31" t="str">
        <f>""</f>
        <v/>
      </c>
      <c r="Q38" s="45" t="str">
        <f>""</f>
        <v/>
      </c>
      <c r="R38" s="46">
        <v>0</v>
      </c>
      <c r="S38" s="46">
        <v>-60</v>
      </c>
      <c r="T38" s="47">
        <f t="shared" si="2"/>
        <v>-60</v>
      </c>
    </row>
    <row r="39" spans="1:20" s="31" customFormat="1" x14ac:dyDescent="0.25">
      <c r="A39" s="25" t="s">
        <v>25</v>
      </c>
      <c r="B39" s="42"/>
      <c r="C39" s="42"/>
      <c r="D39" s="25"/>
      <c r="E39" s="25"/>
      <c r="F39" s="42" t="e">
        <f t="shared" si="3"/>
        <v>#REF!</v>
      </c>
      <c r="G39" s="42" t="e">
        <f t="shared" si="3"/>
        <v>#REF!</v>
      </c>
      <c r="H39" s="43"/>
      <c r="K39" s="31" t="str">
        <f>"""GP"",""Ute Indian Tribe Membership Fund"",""aaa_contract_detail_sp"",""JRNENTRY"",""1574265"",""aaGLHdrID"",""1741850"",""aaGLDistID"",""1"",""aaGLAssignID"",""1"",""contract"",""343 FIA UT 5101"""</f>
        <v>"GP","Ute Indian Tribe Membership Fund","aaa_contract_detail_sp","JRNENTRY","1574265","aaGLHdrID","1741850","aaGLDistID","1","aaGLAssignID","1","contract","343 FIA UT 5101"</v>
      </c>
      <c r="L39" s="44">
        <v>45615</v>
      </c>
      <c r="M39" s="31">
        <v>1574265</v>
      </c>
      <c r="N39" s="31" t="str">
        <f>"ALEJANDRO VAZQUEZ"</f>
        <v>ALEJANDRO VAZQUEZ</v>
      </c>
      <c r="O39" s="31" t="str">
        <f>"TA0065/2025"</f>
        <v>TA0065/2025</v>
      </c>
      <c r="P39" s="31" t="str">
        <f>"SALT LAKE CITY UT 12/14/2024"</f>
        <v>SALT LAKE CITY UT 12/14/2024</v>
      </c>
      <c r="Q39" s="45" t="str">
        <f>"00000000456679"</f>
        <v>00000000456679</v>
      </c>
      <c r="R39" s="46">
        <v>60</v>
      </c>
      <c r="S39" s="46">
        <v>0</v>
      </c>
      <c r="T39" s="47">
        <f t="shared" si="2"/>
        <v>60</v>
      </c>
    </row>
    <row r="40" spans="1:20" s="31" customFormat="1" x14ac:dyDescent="0.25">
      <c r="A40" s="25" t="s">
        <v>25</v>
      </c>
      <c r="B40" s="42"/>
      <c r="C40" s="42"/>
      <c r="D40" s="25"/>
      <c r="E40" s="25"/>
      <c r="F40" s="42" t="e">
        <f t="shared" si="3"/>
        <v>#REF!</v>
      </c>
      <c r="G40" s="42" t="e">
        <f t="shared" si="3"/>
        <v>#REF!</v>
      </c>
      <c r="H40" s="43"/>
      <c r="K40" s="31" t="str">
        <f>"""GP"",""Ute Indian Tribe Membership Fund"",""aaa_contract_detail_sp"",""JRNENTRY"",""1574279"",""aaGLHdrID"",""1741863"",""aaGLDistID"",""1"",""aaGLAssignID"",""1"",""contract"",""343 FIA UT 5101"""</f>
        <v>"GP","Ute Indian Tribe Membership Fund","aaa_contract_detail_sp","JRNENTRY","1574279","aaGLHdrID","1741863","aaGLDistID","1","aaGLAssignID","1","contract","343 FIA UT 5101"</v>
      </c>
      <c r="L40" s="44">
        <v>45615</v>
      </c>
      <c r="M40" s="31">
        <v>1574279</v>
      </c>
      <c r="N40" s="31" t="str">
        <f>"Brittany A. Luck"</f>
        <v>Brittany A. Luck</v>
      </c>
      <c r="O40" s="31" t="str">
        <f>"TA0247/2025"</f>
        <v>TA0247/2025</v>
      </c>
      <c r="P40" s="31" t="str">
        <f>"SaltLakeCity,UT 1/16-17/2025"</f>
        <v>SaltLakeCity,UT 1/16-17/2025</v>
      </c>
      <c r="Q40" s="45" t="str">
        <f>"00000000456682"</f>
        <v>00000000456682</v>
      </c>
      <c r="R40" s="46">
        <v>262</v>
      </c>
      <c r="S40" s="46">
        <v>0</v>
      </c>
      <c r="T40" s="47">
        <f t="shared" si="2"/>
        <v>262</v>
      </c>
    </row>
    <row r="41" spans="1:20" s="31" customFormat="1" x14ac:dyDescent="0.25">
      <c r="A41" s="25" t="s">
        <v>25</v>
      </c>
      <c r="B41" s="42"/>
      <c r="C41" s="42"/>
      <c r="D41" s="25"/>
      <c r="E41" s="25"/>
      <c r="F41" s="42" t="e">
        <f t="shared" si="3"/>
        <v>#REF!</v>
      </c>
      <c r="G41" s="42" t="e">
        <f t="shared" si="3"/>
        <v>#REF!</v>
      </c>
      <c r="H41" s="43"/>
      <c r="K41" s="31" t="str">
        <f>"""GP"",""Ute Indian Tribe Membership Fund"",""aaa_contract_detail_sp"",""JRNENTRY"",""1574281"",""aaGLHdrID"",""1741865"",""aaGLDistID"",""1"",""aaGLAssignID"",""1"",""contract"",""343 FIA UT 5101"""</f>
        <v>"GP","Ute Indian Tribe Membership Fund","aaa_contract_detail_sp","JRNENTRY","1574281","aaGLHdrID","1741865","aaGLDistID","1","aaGLAssignID","1","contract","343 FIA UT 5101"</v>
      </c>
      <c r="L41" s="44">
        <v>45615</v>
      </c>
      <c r="M41" s="31">
        <v>1574281</v>
      </c>
      <c r="N41" s="31" t="str">
        <f>"Ronee K Wopsock-Pawwinnee"</f>
        <v>Ronee K Wopsock-Pawwinnee</v>
      </c>
      <c r="O41" s="31" t="str">
        <f>"TA0249/2025"</f>
        <v>TA0249/2025</v>
      </c>
      <c r="P41" s="31" t="str">
        <f>"SaltLakeCity,UT 1/16-17/2025"</f>
        <v>SaltLakeCity,UT 1/16-17/2025</v>
      </c>
      <c r="Q41" s="45" t="str">
        <f>"00000000456692"</f>
        <v>00000000456692</v>
      </c>
      <c r="R41" s="46">
        <v>262</v>
      </c>
      <c r="S41" s="46">
        <v>0</v>
      </c>
      <c r="T41" s="47">
        <f t="shared" si="2"/>
        <v>262</v>
      </c>
    </row>
    <row r="42" spans="1:20" s="31" customFormat="1" x14ac:dyDescent="0.25">
      <c r="A42" s="25" t="s">
        <v>25</v>
      </c>
      <c r="B42" s="42"/>
      <c r="C42" s="42"/>
      <c r="D42" s="25"/>
      <c r="E42" s="25"/>
      <c r="F42" s="42" t="e">
        <f t="shared" ref="F42:G55" si="4">F41</f>
        <v>#REF!</v>
      </c>
      <c r="G42" s="42" t="e">
        <f t="shared" si="4"/>
        <v>#REF!</v>
      </c>
      <c r="H42" s="43"/>
      <c r="K42" s="31" t="str">
        <f>"""GP"",""Ute Indian Tribe Membership Fund"",""aaa_contract_detail_sp"",""JRNENTRY"",""1576147"",""aaGLHdrID"",""1743911"",""aaGLDistID"",""1"",""aaGLAssignID"",""1"",""contract"",""343 FIA UT 5101"""</f>
        <v>"GP","Ute Indian Tribe Membership Fund","aaa_contract_detail_sp","JRNENTRY","1576147","aaGLHdrID","1743911","aaGLDistID","1","aaGLAssignID","1","contract","343 FIA UT 5101"</v>
      </c>
      <c r="L42" s="44">
        <v>45629</v>
      </c>
      <c r="M42" s="31">
        <v>1576147</v>
      </c>
      <c r="N42" s="31" t="str">
        <f>"CHRISTENSEN, AARON"</f>
        <v>CHRISTENSEN, AARON</v>
      </c>
      <c r="O42" s="31" t="str">
        <f>""</f>
        <v/>
      </c>
      <c r="P42" s="31" t="str">
        <f>""</f>
        <v/>
      </c>
      <c r="Q42" s="45" t="str">
        <f>""</f>
        <v/>
      </c>
      <c r="R42" s="46">
        <v>0</v>
      </c>
      <c r="S42" s="46">
        <v>-48</v>
      </c>
      <c r="T42" s="47">
        <f t="shared" si="2"/>
        <v>-48</v>
      </c>
    </row>
    <row r="43" spans="1:20" s="31" customFormat="1" x14ac:dyDescent="0.25">
      <c r="A43" s="25" t="s">
        <v>25</v>
      </c>
      <c r="B43" s="42"/>
      <c r="C43" s="42"/>
      <c r="D43" s="25"/>
      <c r="E43" s="25"/>
      <c r="F43" s="42" t="e">
        <f t="shared" si="4"/>
        <v>#REF!</v>
      </c>
      <c r="G43" s="42" t="e">
        <f t="shared" si="4"/>
        <v>#REF!</v>
      </c>
      <c r="H43" s="43"/>
      <c r="K43" s="31" t="str">
        <f>"""GP"",""Ute Indian Tribe Membership Fund"",""aaa_contract_detail_sp"",""JRNENTRY"",""1576221"",""aaGLHdrID"",""1743900"",""aaGLDistID"",""1"",""aaGLAssignID"",""1"",""contract"",""343 FIA UT 5101"""</f>
        <v>"GP","Ute Indian Tribe Membership Fund","aaa_contract_detail_sp","JRNENTRY","1576221","aaGLHdrID","1743900","aaGLDistID","1","aaGLAssignID","1","contract","343 FIA UT 5101"</v>
      </c>
      <c r="L43" s="44">
        <v>45629</v>
      </c>
      <c r="M43" s="31">
        <v>1576221</v>
      </c>
      <c r="N43" s="31" t="str">
        <f>"Benjamin Fagnant"</f>
        <v>Benjamin Fagnant</v>
      </c>
      <c r="O43" s="31" t="str">
        <f>"TA0267/2025"</f>
        <v>TA0267/2025</v>
      </c>
      <c r="P43" s="31" t="str">
        <f>"SALT LAKE CITY UT 12/16/2024"</f>
        <v>SALT LAKE CITY UT 12/16/2024</v>
      </c>
      <c r="Q43" s="45" t="str">
        <f>"00000000456987"</f>
        <v>00000000456987</v>
      </c>
      <c r="R43" s="46">
        <v>55.5</v>
      </c>
      <c r="S43" s="46">
        <v>0</v>
      </c>
      <c r="T43" s="47">
        <f t="shared" ref="T43:T55" si="5">SUM(R43:S43)</f>
        <v>55.5</v>
      </c>
    </row>
    <row r="44" spans="1:20" s="31" customFormat="1" x14ac:dyDescent="0.25">
      <c r="A44" s="25" t="s">
        <v>25</v>
      </c>
      <c r="B44" s="42"/>
      <c r="C44" s="42"/>
      <c r="D44" s="25"/>
      <c r="E44" s="25"/>
      <c r="F44" s="42" t="e">
        <f t="shared" si="4"/>
        <v>#REF!</v>
      </c>
      <c r="G44" s="42" t="e">
        <f t="shared" si="4"/>
        <v>#REF!</v>
      </c>
      <c r="H44" s="43"/>
      <c r="K44" s="31" t="str">
        <f>"""GP"",""Ute Indian Tribe Membership Fund"",""aaa_contract_detail_sp"",""JRNENTRY"",""1576222"",""aaGLHdrID"",""1743901"",""aaGLDistID"",""1"",""aaGLAssignID"",""1"",""contract"",""343 FIA UT 5101"""</f>
        <v>"GP","Ute Indian Tribe Membership Fund","aaa_contract_detail_sp","JRNENTRY","1576222","aaGLHdrID","1743901","aaGLDistID","1","aaGLAssignID","1","contract","343 FIA UT 5101"</v>
      </c>
      <c r="L44" s="44">
        <v>45629</v>
      </c>
      <c r="M44" s="31">
        <v>1576222</v>
      </c>
      <c r="N44" s="31" t="str">
        <f>"TAMMIE ESPLIN"</f>
        <v>TAMMIE ESPLIN</v>
      </c>
      <c r="O44" s="31" t="str">
        <f>"TA0263/2025"</f>
        <v>TA0263/2025</v>
      </c>
      <c r="P44" s="31" t="str">
        <f>"OGDEN UT 12/11/2024"</f>
        <v>OGDEN UT 12/11/2024</v>
      </c>
      <c r="Q44" s="45" t="str">
        <f>"00000000456985"</f>
        <v>00000000456985</v>
      </c>
      <c r="R44" s="46">
        <v>55.5</v>
      </c>
      <c r="S44" s="46">
        <v>0</v>
      </c>
      <c r="T44" s="47">
        <f t="shared" si="5"/>
        <v>55.5</v>
      </c>
    </row>
    <row r="45" spans="1:20" s="31" customFormat="1" x14ac:dyDescent="0.25">
      <c r="A45" s="25" t="s">
        <v>25</v>
      </c>
      <c r="B45" s="42"/>
      <c r="C45" s="42"/>
      <c r="D45" s="25"/>
      <c r="E45" s="25"/>
      <c r="F45" s="42" t="e">
        <f t="shared" si="4"/>
        <v>#REF!</v>
      </c>
      <c r="G45" s="42" t="e">
        <f t="shared" si="4"/>
        <v>#REF!</v>
      </c>
      <c r="H45" s="43"/>
      <c r="K45" s="31" t="str">
        <f>"""GP"",""Ute Indian Tribe Membership Fund"",""aaa_contract_detail_sp"",""JRNENTRY"",""1576223"",""aaGLHdrID"",""1743902"",""aaGLDistID"",""1"",""aaGLAssignID"",""1"",""contract"",""343 FIA UT 5101"""</f>
        <v>"GP","Ute Indian Tribe Membership Fund","aaa_contract_detail_sp","JRNENTRY","1576223","aaGLHdrID","1743902","aaGLDistID","1","aaGLAssignID","1","contract","343 FIA UT 5101"</v>
      </c>
      <c r="L45" s="44">
        <v>45629</v>
      </c>
      <c r="M45" s="31">
        <v>1576223</v>
      </c>
      <c r="N45" s="31" t="str">
        <f>"TAMMIE ESPLIN"</f>
        <v>TAMMIE ESPLIN</v>
      </c>
      <c r="O45" s="31" t="str">
        <f>"TA0264/2025"</f>
        <v>TA0264/2025</v>
      </c>
      <c r="P45" s="31" t="str">
        <f>"SALT LAKE CITY UT 12/16/2024"</f>
        <v>SALT LAKE CITY UT 12/16/2024</v>
      </c>
      <c r="Q45" s="45" t="str">
        <f>"00000000456986"</f>
        <v>00000000456986</v>
      </c>
      <c r="R45" s="46">
        <v>55.5</v>
      </c>
      <c r="S45" s="46">
        <v>0</v>
      </c>
      <c r="T45" s="47">
        <f t="shared" si="5"/>
        <v>55.5</v>
      </c>
    </row>
    <row r="46" spans="1:20" s="31" customFormat="1" x14ac:dyDescent="0.25">
      <c r="A46" s="25" t="s">
        <v>25</v>
      </c>
      <c r="B46" s="42"/>
      <c r="C46" s="42"/>
      <c r="D46" s="25"/>
      <c r="E46" s="25"/>
      <c r="F46" s="42" t="e">
        <f t="shared" si="4"/>
        <v>#REF!</v>
      </c>
      <c r="G46" s="42" t="e">
        <f t="shared" si="4"/>
        <v>#REF!</v>
      </c>
      <c r="H46" s="43"/>
      <c r="K46" s="31" t="str">
        <f>"""GP"",""Ute Indian Tribe Membership Fund"",""aaa_contract_detail_sp"",""JRNENTRY"",""1576224"",""aaGLHdrID"",""1743903"",""aaGLDistID"",""1"",""aaGLAssignID"",""1"",""contract"",""343 FIA UT 5101"""</f>
        <v>"GP","Ute Indian Tribe Membership Fund","aaa_contract_detail_sp","JRNENTRY","1576224","aaGLHdrID","1743903","aaGLDistID","1","aaGLAssignID","1","contract","343 FIA UT 5101"</v>
      </c>
      <c r="L46" s="44">
        <v>45629</v>
      </c>
      <c r="M46" s="31">
        <v>1576224</v>
      </c>
      <c r="N46" s="31" t="str">
        <f>"ALEJANDRO VAZQUEZ"</f>
        <v>ALEJANDRO VAZQUEZ</v>
      </c>
      <c r="O46" s="31" t="str">
        <f>"TA0265/2025"</f>
        <v>TA0265/2025</v>
      </c>
      <c r="P46" s="31" t="str">
        <f>"OGDEN UT 12/11/2024"</f>
        <v>OGDEN UT 12/11/2024</v>
      </c>
      <c r="Q46" s="45" t="str">
        <f>"00000000456989"</f>
        <v>00000000456989</v>
      </c>
      <c r="R46" s="46">
        <v>55.5</v>
      </c>
      <c r="S46" s="46">
        <v>0</v>
      </c>
      <c r="T46" s="47">
        <f t="shared" si="5"/>
        <v>55.5</v>
      </c>
    </row>
    <row r="47" spans="1:20" s="31" customFormat="1" x14ac:dyDescent="0.25">
      <c r="A47" s="25" t="s">
        <v>25</v>
      </c>
      <c r="B47" s="42"/>
      <c r="C47" s="42"/>
      <c r="D47" s="25"/>
      <c r="E47" s="25"/>
      <c r="F47" s="42" t="e">
        <f t="shared" si="4"/>
        <v>#REF!</v>
      </c>
      <c r="G47" s="42" t="e">
        <f t="shared" si="4"/>
        <v>#REF!</v>
      </c>
      <c r="H47" s="43"/>
      <c r="K47" s="31" t="str">
        <f>"""GP"",""Ute Indian Tribe Membership Fund"",""aaa_contract_detail_sp"",""JRNENTRY"",""1579120"",""aaGLHdrID"",""1746883"",""aaGLDistID"",""1"",""aaGLAssignID"",""1"",""contract"",""343 FIA UT 5101"""</f>
        <v>"GP","Ute Indian Tribe Membership Fund","aaa_contract_detail_sp","JRNENTRY","1579120","aaGLHdrID","1746883","aaGLDistID","1","aaGLAssignID","1","contract","343 FIA UT 5101"</v>
      </c>
      <c r="L47" s="44">
        <v>45643</v>
      </c>
      <c r="M47" s="31">
        <v>1579120</v>
      </c>
      <c r="N47" s="31" t="str">
        <f>"ALEJANDRO VAZQUEZ"</f>
        <v>ALEJANDRO VAZQUEZ</v>
      </c>
      <c r="O47" s="31" t="str">
        <f>"TA0067/2025"</f>
        <v>TA0067/2025</v>
      </c>
      <c r="P47" s="31" t="str">
        <f>"SALT LAKE CITY UT 1/11/2025"</f>
        <v>SALT LAKE CITY UT 1/11/2025</v>
      </c>
      <c r="Q47" s="45" t="str">
        <f>"00000000457703"</f>
        <v>00000000457703</v>
      </c>
      <c r="R47" s="46">
        <v>60</v>
      </c>
      <c r="S47" s="46">
        <v>0</v>
      </c>
      <c r="T47" s="47">
        <f t="shared" si="5"/>
        <v>60</v>
      </c>
    </row>
    <row r="48" spans="1:20" s="31" customFormat="1" x14ac:dyDescent="0.25">
      <c r="A48" s="25" t="s">
        <v>25</v>
      </c>
      <c r="B48" s="42"/>
      <c r="C48" s="42"/>
      <c r="D48" s="25"/>
      <c r="E48" s="25"/>
      <c r="F48" s="42" t="e">
        <f t="shared" si="4"/>
        <v>#REF!</v>
      </c>
      <c r="G48" s="42" t="e">
        <f t="shared" si="4"/>
        <v>#REF!</v>
      </c>
      <c r="H48" s="43"/>
      <c r="K48" s="31" t="str">
        <f>"""GP"",""Ute Indian Tribe Membership Fund"",""aaa_contract_detail_sp"",""JRNENTRY"",""1579121"",""aaGLHdrID"",""1746884"",""aaGLDistID"",""1"",""aaGLAssignID"",""1"",""contract"",""343 FIA UT 5101"""</f>
        <v>"GP","Ute Indian Tribe Membership Fund","aaa_contract_detail_sp","JRNENTRY","1579121","aaGLHdrID","1746884","aaGLDistID","1","aaGLAssignID","1","contract","343 FIA UT 5101"</v>
      </c>
      <c r="L48" s="44">
        <v>45643</v>
      </c>
      <c r="M48" s="31">
        <v>1579121</v>
      </c>
      <c r="N48" s="31" t="str">
        <f>"Brittany A. Luck"</f>
        <v>Brittany A. Luck</v>
      </c>
      <c r="O48" s="31" t="str">
        <f>"TA0066/2025"</f>
        <v>TA0066/2025</v>
      </c>
      <c r="P48" s="31" t="str">
        <f>"SALT LAKE CITY UT 1/11/2025"</f>
        <v>SALT LAKE CITY UT 1/11/2025</v>
      </c>
      <c r="Q48" s="45" t="str">
        <f>"00000000457701"</f>
        <v>00000000457701</v>
      </c>
      <c r="R48" s="46">
        <v>60</v>
      </c>
      <c r="S48" s="46">
        <v>0</v>
      </c>
      <c r="T48" s="47">
        <f t="shared" si="5"/>
        <v>60</v>
      </c>
    </row>
    <row r="49" spans="1:20" s="31" customFormat="1" x14ac:dyDescent="0.25">
      <c r="A49" s="25" t="s">
        <v>25</v>
      </c>
      <c r="B49" s="42"/>
      <c r="C49" s="42"/>
      <c r="D49" s="25"/>
      <c r="E49" s="25"/>
      <c r="F49" s="42" t="e">
        <f t="shared" si="4"/>
        <v>#REF!</v>
      </c>
      <c r="G49" s="42" t="e">
        <f t="shared" si="4"/>
        <v>#REF!</v>
      </c>
      <c r="H49" s="43"/>
      <c r="K49" s="31" t="str">
        <f>"""GP"",""Ute Indian Tribe Membership Fund"",""aaa_contract_detail_sp"",""JRNENTRY"",""1579122"",""aaGLHdrID"",""1746885"",""aaGLDistID"",""1"",""aaGLAssignID"",""1"",""contract"",""343 FIA UT 5101"""</f>
        <v>"GP","Ute Indian Tribe Membership Fund","aaa_contract_detail_sp","JRNENTRY","1579122","aaGLHdrID","1746885","aaGLDistID","1","aaGLAssignID","1","contract","343 FIA UT 5101"</v>
      </c>
      <c r="L49" s="44">
        <v>45643</v>
      </c>
      <c r="M49" s="31">
        <v>1579122</v>
      </c>
      <c r="N49" s="31" t="str">
        <f>"Emeline Root"</f>
        <v>Emeline Root</v>
      </c>
      <c r="O49" s="31" t="str">
        <f>"TA0250/2025"</f>
        <v>TA0250/2025</v>
      </c>
      <c r="P49" s="31" t="str">
        <f>"SALT LAKE CITY UT 1/16/2025"</f>
        <v>SALT LAKE CITY UT 1/16/2025</v>
      </c>
      <c r="Q49" s="45" t="str">
        <f>"00000000457704"</f>
        <v>00000000457704</v>
      </c>
      <c r="R49" s="46">
        <v>262</v>
      </c>
      <c r="S49" s="46">
        <v>0</v>
      </c>
      <c r="T49" s="47">
        <f t="shared" si="5"/>
        <v>262</v>
      </c>
    </row>
    <row r="50" spans="1:20" s="31" customFormat="1" x14ac:dyDescent="0.25">
      <c r="A50" s="25" t="s">
        <v>25</v>
      </c>
      <c r="B50" s="42"/>
      <c r="C50" s="42"/>
      <c r="D50" s="25"/>
      <c r="E50" s="25"/>
      <c r="F50" s="42" t="e">
        <f t="shared" si="4"/>
        <v>#REF!</v>
      </c>
      <c r="G50" s="42" t="e">
        <f t="shared" si="4"/>
        <v>#REF!</v>
      </c>
      <c r="H50" s="43"/>
      <c r="K50" s="31" t="str">
        <f>"""GP"",""Ute Indian Tribe Membership Fund"",""aaa_contract_detail_sp"",""JRNENTRY"",""1579123"",""aaGLHdrID"",""1746886"",""aaGLDistID"",""1"",""aaGLAssignID"",""1"",""contract"",""343 FIA UT 5101"""</f>
        <v>"GP","Ute Indian Tribe Membership Fund","aaa_contract_detail_sp","JRNENTRY","1579123","aaGLHdrID","1746886","aaGLDistID","1","aaGLAssignID","1","contract","343 FIA UT 5101"</v>
      </c>
      <c r="L50" s="44">
        <v>45643</v>
      </c>
      <c r="M50" s="31">
        <v>1579123</v>
      </c>
      <c r="N50" s="31" t="str">
        <f>"FITCHETTE, LORI"</f>
        <v>FITCHETTE, LORI</v>
      </c>
      <c r="O50" s="31" t="str">
        <f>"TA0248/2025"</f>
        <v>TA0248/2025</v>
      </c>
      <c r="P50" s="31" t="str">
        <f>"SALT LAKE CITY UT N1/16-17/25"</f>
        <v>SALT LAKE CITY UT N1/16-17/25</v>
      </c>
      <c r="Q50" s="45" t="str">
        <f>"00000000457699"</f>
        <v>00000000457699</v>
      </c>
      <c r="R50" s="46">
        <v>262</v>
      </c>
      <c r="S50" s="46">
        <v>0</v>
      </c>
      <c r="T50" s="47">
        <f t="shared" si="5"/>
        <v>262</v>
      </c>
    </row>
    <row r="51" spans="1:20" s="31" customFormat="1" x14ac:dyDescent="0.25">
      <c r="A51" s="25" t="s">
        <v>25</v>
      </c>
      <c r="B51" s="42"/>
      <c r="C51" s="42"/>
      <c r="D51" s="25"/>
      <c r="E51" s="25"/>
      <c r="F51" s="42" t="e">
        <f t="shared" si="4"/>
        <v>#REF!</v>
      </c>
      <c r="G51" s="42" t="e">
        <f t="shared" si="4"/>
        <v>#REF!</v>
      </c>
      <c r="H51" s="43"/>
      <c r="K51" s="31" t="str">
        <f>"""GP"",""Ute Indian Tribe Membership Fund"",""aaa_contract_detail_sp"",""JRNENTRY"",""1579124"",""aaGLHdrID"",""1746887"",""aaGLDistID"",""1"",""aaGLAssignID"",""1"",""contract"",""343 FIA UT 5101"""</f>
        <v>"GP","Ute Indian Tribe Membership Fund","aaa_contract_detail_sp","JRNENTRY","1579124","aaGLHdrID","1746887","aaGLDistID","1","aaGLAssignID","1","contract","343 FIA UT 5101"</v>
      </c>
      <c r="L51" s="44">
        <v>45643</v>
      </c>
      <c r="M51" s="31">
        <v>1579124</v>
      </c>
      <c r="N51" s="31" t="str">
        <f>"Mikell J. Sanderson"</f>
        <v>Mikell J. Sanderson</v>
      </c>
      <c r="O51" s="31" t="str">
        <f>"TA0262/2025"</f>
        <v>TA0262/2025</v>
      </c>
      <c r="P51" s="31" t="str">
        <f>"HEBER CITY UT 1/22-23/2025"</f>
        <v>HEBER CITY UT 1/22-23/2025</v>
      </c>
      <c r="Q51" s="45" t="str">
        <f>"00000000457702"</f>
        <v>00000000457702</v>
      </c>
      <c r="R51" s="46">
        <v>195.5</v>
      </c>
      <c r="S51" s="46">
        <v>0</v>
      </c>
      <c r="T51" s="47">
        <f t="shared" si="5"/>
        <v>195.5</v>
      </c>
    </row>
    <row r="52" spans="1:20" s="31" customFormat="1" x14ac:dyDescent="0.25">
      <c r="A52" s="25" t="s">
        <v>25</v>
      </c>
      <c r="B52" s="42"/>
      <c r="C52" s="42"/>
      <c r="D52" s="25"/>
      <c r="E52" s="25"/>
      <c r="F52" s="42" t="e">
        <f t="shared" si="4"/>
        <v>#REF!</v>
      </c>
      <c r="G52" s="42" t="e">
        <f t="shared" si="4"/>
        <v>#REF!</v>
      </c>
      <c r="H52" s="43"/>
      <c r="K52" s="31" t="str">
        <f>"""GP"",""Ute Indian Tribe Membership Fund"",""aaa_contract_detail_sp"",""JRNENTRY"",""1579125"",""aaGLHdrID"",""1746888"",""aaGLDistID"",""1"",""aaGLAssignID"",""1"",""contract"",""343 FIA UT 5101"""</f>
        <v>"GP","Ute Indian Tribe Membership Fund","aaa_contract_detail_sp","JRNENTRY","1579125","aaGLHdrID","1746888","aaGLDistID","1","aaGLAssignID","1","contract","343 FIA UT 5101"</v>
      </c>
      <c r="L52" s="44">
        <v>45643</v>
      </c>
      <c r="M52" s="31">
        <v>1579125</v>
      </c>
      <c r="N52" s="31" t="str">
        <f>"EMILY FITCHETTE"</f>
        <v>EMILY FITCHETTE</v>
      </c>
      <c r="O52" s="31" t="str">
        <f>"TA0266/2025"</f>
        <v>TA0266/2025</v>
      </c>
      <c r="P52" s="31" t="str">
        <f>"PROVO UT 1/27-29/2025"</f>
        <v>PROVO UT 1/27-29/2025</v>
      </c>
      <c r="Q52" s="45" t="str">
        <f>"00000000457700"</f>
        <v>00000000457700</v>
      </c>
      <c r="R52" s="46">
        <v>419</v>
      </c>
      <c r="S52" s="46">
        <v>0</v>
      </c>
      <c r="T52" s="47">
        <f t="shared" si="5"/>
        <v>419</v>
      </c>
    </row>
    <row r="53" spans="1:20" s="31" customFormat="1" x14ac:dyDescent="0.25">
      <c r="A53" s="25" t="s">
        <v>25</v>
      </c>
      <c r="B53" s="42"/>
      <c r="C53" s="42"/>
      <c r="D53" s="25"/>
      <c r="E53" s="25"/>
      <c r="F53" s="42" t="e">
        <f t="shared" si="4"/>
        <v>#REF!</v>
      </c>
      <c r="G53" s="42" t="e">
        <f t="shared" si="4"/>
        <v>#REF!</v>
      </c>
      <c r="H53" s="43"/>
      <c r="K53" s="31" t="str">
        <f>"""GP"",""Ute Indian Tribe Membership Fund"",""aaa_contract_detail_sp"",""JRNENTRY"",""1580034"",""aaGLHdrID"",""1747312"",""aaGLDistID"",""1"",""aaGLAssignID"",""1"",""contract"",""343 FIA UT 5101"""</f>
        <v>"GP","Ute Indian Tribe Membership Fund","aaa_contract_detail_sp","JRNENTRY","1580034","aaGLHdrID","1747312","aaGLDistID","1","aaGLAssignID","1","contract","343 FIA UT 5101"</v>
      </c>
      <c r="L53" s="44">
        <v>45644</v>
      </c>
      <c r="M53" s="31">
        <v>1580034</v>
      </c>
      <c r="N53" s="31" t="str">
        <f>"Venice Shavanaux"</f>
        <v>Venice Shavanaux</v>
      </c>
      <c r="O53" s="31" t="str">
        <f>"TA00302/2025"</f>
        <v>TA00302/2025</v>
      </c>
      <c r="P53" s="31" t="str">
        <f>"SaltLakeCity,UT 1/8/2025"</f>
        <v>SaltLakeCity,UT 1/8/2025</v>
      </c>
      <c r="Q53" s="45" t="str">
        <f>"00000000457796"</f>
        <v>00000000457796</v>
      </c>
      <c r="R53" s="46">
        <v>55.5</v>
      </c>
      <c r="S53" s="46">
        <v>0</v>
      </c>
      <c r="T53" s="47">
        <f t="shared" si="5"/>
        <v>55.5</v>
      </c>
    </row>
    <row r="54" spans="1:20" s="31" customFormat="1" x14ac:dyDescent="0.25">
      <c r="A54" s="25" t="s">
        <v>25</v>
      </c>
      <c r="B54" s="42"/>
      <c r="C54" s="42"/>
      <c r="D54" s="25"/>
      <c r="E54" s="25"/>
      <c r="F54" s="42" t="e">
        <f t="shared" si="4"/>
        <v>#REF!</v>
      </c>
      <c r="G54" s="42" t="e">
        <f t="shared" si="4"/>
        <v>#REF!</v>
      </c>
      <c r="H54" s="43"/>
      <c r="K54" s="31" t="str">
        <f>"""GP"",""Ute Indian Tribe Membership Fund"",""aaa_contract_detail_sp"",""JRNENTRY"",""1580035"",""aaGLHdrID"",""1747313"",""aaGLDistID"",""1"",""aaGLAssignID"",""1"",""contract"",""343 FIA UT 5101"""</f>
        <v>"GP","Ute Indian Tribe Membership Fund","aaa_contract_detail_sp","JRNENTRY","1580035","aaGLHdrID","1747313","aaGLDistID","1","aaGLAssignID","1","contract","343 FIA UT 5101"</v>
      </c>
      <c r="L54" s="44">
        <v>45644</v>
      </c>
      <c r="M54" s="31">
        <v>1580035</v>
      </c>
      <c r="N54" s="31" t="str">
        <f>"Brittany A. Luck"</f>
        <v>Brittany A. Luck</v>
      </c>
      <c r="O54" s="31" t="str">
        <f>"TA0300/2025"</f>
        <v>TA0300/2025</v>
      </c>
      <c r="P54" s="31" t="str">
        <f>"SaltLakeCity,UT 1/8/2025"</f>
        <v>SaltLakeCity,UT 1/8/2025</v>
      </c>
      <c r="Q54" s="45" t="str">
        <f>"00000000457795"</f>
        <v>00000000457795</v>
      </c>
      <c r="R54" s="46">
        <v>55.5</v>
      </c>
      <c r="S54" s="46">
        <v>0</v>
      </c>
      <c r="T54" s="47">
        <f t="shared" si="5"/>
        <v>55.5</v>
      </c>
    </row>
    <row r="55" spans="1:20" s="31" customFormat="1" x14ac:dyDescent="0.25">
      <c r="A55" s="25" t="s">
        <v>25</v>
      </c>
      <c r="B55" s="42"/>
      <c r="C55" s="42"/>
      <c r="D55" s="25"/>
      <c r="E55" s="25"/>
      <c r="F55" s="42" t="e">
        <f t="shared" si="4"/>
        <v>#REF!</v>
      </c>
      <c r="G55" s="42" t="e">
        <f t="shared" si="4"/>
        <v>#REF!</v>
      </c>
      <c r="H55" s="43"/>
      <c r="K55" s="31" t="str">
        <f>"""GP"",""Ute Indian Tribe Membership Fund"",""aaa_contract_detail_sp"",""JRNENTRY"",""1580036"",""aaGLHdrID"",""1747314"",""aaGLDistID"",""1"",""aaGLAssignID"",""1"",""contract"",""343 FIA UT 5101"""</f>
        <v>"GP","Ute Indian Tribe Membership Fund","aaa_contract_detail_sp","JRNENTRY","1580036","aaGLHdrID","1747314","aaGLDistID","1","aaGLAssignID","1","contract","343 FIA UT 5101"</v>
      </c>
      <c r="L55" s="44">
        <v>45644</v>
      </c>
      <c r="M55" s="31">
        <v>1580036</v>
      </c>
      <c r="N55" s="31" t="str">
        <f>"TAMMIE ESPLIN"</f>
        <v>TAMMIE ESPLIN</v>
      </c>
      <c r="O55" s="31" t="str">
        <f>"TA031/2025"</f>
        <v>TA031/2025</v>
      </c>
      <c r="P55" s="31" t="str">
        <f>"Orem, UT 1/8/2025"</f>
        <v>Orem, UT 1/8/2025</v>
      </c>
      <c r="Q55" s="45" t="str">
        <f>"00000000457793"</f>
        <v>00000000457793</v>
      </c>
      <c r="R55" s="46">
        <v>55.5</v>
      </c>
      <c r="S55" s="46">
        <v>0</v>
      </c>
      <c r="T55" s="47">
        <f t="shared" si="5"/>
        <v>55.5</v>
      </c>
    </row>
    <row r="56" spans="1:20" s="31" customFormat="1" ht="12.75" x14ac:dyDescent="0.2">
      <c r="A56" s="25" t="s">
        <v>25</v>
      </c>
      <c r="B56" s="42"/>
      <c r="C56" s="42"/>
      <c r="D56" s="25"/>
      <c r="E56" s="25"/>
      <c r="F56" s="42" t="e">
        <f>#REF!</f>
        <v>#REF!</v>
      </c>
      <c r="G56" s="42" t="e">
        <f>#REF!</f>
        <v>#REF!</v>
      </c>
      <c r="H56" s="43"/>
    </row>
    <row r="57" spans="1:20" s="31" customFormat="1" ht="12.75" x14ac:dyDescent="0.2">
      <c r="A57" s="25" t="s">
        <v>25</v>
      </c>
      <c r="B57" s="25"/>
      <c r="C57" s="25"/>
      <c r="D57" s="25"/>
      <c r="E57" s="25"/>
      <c r="F57" s="25"/>
      <c r="G57" s="25"/>
      <c r="H57" s="30"/>
      <c r="I57" s="54" t="str">
        <f>I24&amp;"   "&amp;J24&amp;"         Total:"</f>
        <v>5021-0-6150-3430   Travel         Total:</v>
      </c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48">
        <f>SUBTOTAL(9,T25:T56)</f>
        <v>3814.22</v>
      </c>
    </row>
    <row r="58" spans="1:20" s="31" customFormat="1" ht="12.75" x14ac:dyDescent="0.2">
      <c r="A58" s="25" t="s">
        <v>25</v>
      </c>
      <c r="B58" s="25"/>
      <c r="C58" s="25"/>
      <c r="D58" s="25"/>
      <c r="E58" s="25"/>
      <c r="F58" s="25"/>
      <c r="G58" s="25"/>
      <c r="H58" s="30"/>
    </row>
    <row r="59" spans="1:20" s="31" customFormat="1" x14ac:dyDescent="0.25">
      <c r="A59" s="25" t="s">
        <v>25</v>
      </c>
      <c r="B59" s="25"/>
      <c r="C59" s="25"/>
      <c r="D59" s="25"/>
      <c r="E59" s="25"/>
      <c r="F59" s="25"/>
      <c r="G59" s="25"/>
      <c r="H59" s="30"/>
    </row>
    <row r="60" spans="1:20" s="31" customFormat="1" ht="12.75" x14ac:dyDescent="0.2">
      <c r="A60" s="25" t="s">
        <v>25</v>
      </c>
      <c r="B60" s="25"/>
      <c r="C60" s="25"/>
      <c r="D60" s="25"/>
      <c r="E60" s="25"/>
      <c r="F60" s="25" t="str">
        <f>"5021-0-6410-3430"</f>
        <v>5021-0-6410-3430</v>
      </c>
      <c r="G60" s="25" t="str">
        <f>"5021-0-6410-3430"</f>
        <v>5021-0-6410-3430</v>
      </c>
      <c r="H60" s="30"/>
      <c r="I60" s="40" t="str">
        <f>G60</f>
        <v>5021-0-6410-3430</v>
      </c>
      <c r="J60" s="40" t="str">
        <f>"Materials and Supplies"</f>
        <v>Materials and Supplies</v>
      </c>
      <c r="Q60" s="40"/>
      <c r="R60" s="41"/>
    </row>
    <row r="61" spans="1:20" s="31" customFormat="1" x14ac:dyDescent="0.25">
      <c r="A61" s="25" t="s">
        <v>25</v>
      </c>
      <c r="B61" s="42"/>
      <c r="C61" s="42"/>
      <c r="D61" s="25"/>
      <c r="E61" s="25"/>
      <c r="F61" s="42" t="e">
        <f>#REF!</f>
        <v>#REF!</v>
      </c>
      <c r="G61" s="42" t="e">
        <f>#REF!</f>
        <v>#REF!</v>
      </c>
      <c r="H61" s="43"/>
      <c r="K61" s="31" t="str">
        <f>"""GP"",""Ute Indian Tribe Membership Fund"",""aaa_contract_detail_sp"",""JRNENTRY"",""1579158"",""aaGLHdrID"",""1746909"",""aaGLDistID"",""2"",""aaGLAssignID"",""1"",""contract"",""343 FIA UT 5101"""</f>
        <v>"GP","Ute Indian Tribe Membership Fund","aaa_contract_detail_sp","JRNENTRY","1579158","aaGLHdrID","1746909","aaGLDistID","2","aaGLAssignID","1","contract","343 FIA UT 5101"</v>
      </c>
      <c r="L61" s="44">
        <v>45631</v>
      </c>
      <c r="M61" s="31">
        <v>1579158</v>
      </c>
      <c r="N61" s="31" t="str">
        <f>"WEST PRO"</f>
        <v>WEST PRO</v>
      </c>
      <c r="O61" s="31" t="str">
        <f>"58522"</f>
        <v>58522</v>
      </c>
      <c r="P61" s="31" t="str">
        <f>"Winter Uniforms"</f>
        <v>Winter Uniforms</v>
      </c>
      <c r="Q61" s="45" t="str">
        <f>"00000000457728"</f>
        <v>00000000457728</v>
      </c>
      <c r="R61" s="46">
        <v>2195</v>
      </c>
      <c r="S61" s="46">
        <v>0</v>
      </c>
      <c r="T61" s="47">
        <f t="shared" ref="T61" si="6">SUM(R61:S61)</f>
        <v>2195</v>
      </c>
    </row>
    <row r="62" spans="1:20" s="31" customFormat="1" x14ac:dyDescent="0.25">
      <c r="A62" s="25" t="s">
        <v>25</v>
      </c>
      <c r="B62" s="42"/>
      <c r="C62" s="42"/>
      <c r="D62" s="25"/>
      <c r="E62" s="25"/>
      <c r="F62" s="42" t="e">
        <f>#REF!</f>
        <v>#REF!</v>
      </c>
      <c r="G62" s="42" t="e">
        <f>#REF!</f>
        <v>#REF!</v>
      </c>
      <c r="H62" s="43"/>
    </row>
    <row r="63" spans="1:20" s="31" customFormat="1" ht="12.75" x14ac:dyDescent="0.2">
      <c r="A63" s="25" t="s">
        <v>25</v>
      </c>
      <c r="B63" s="25"/>
      <c r="C63" s="25"/>
      <c r="D63" s="25"/>
      <c r="E63" s="25"/>
      <c r="F63" s="25"/>
      <c r="G63" s="25"/>
      <c r="H63" s="30"/>
      <c r="I63" s="54" t="str">
        <f>I60&amp;"   "&amp;J60&amp;"         Total:"</f>
        <v>5021-0-6410-3430   Materials and Supplies         Total:</v>
      </c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48">
        <f>SUBTOTAL(9,T61:T62)</f>
        <v>2195</v>
      </c>
    </row>
    <row r="64" spans="1:20" s="31" customFormat="1" ht="12.75" x14ac:dyDescent="0.2">
      <c r="A64" s="25" t="s">
        <v>25</v>
      </c>
      <c r="B64" s="25"/>
      <c r="C64" s="25"/>
      <c r="D64" s="25"/>
      <c r="E64" s="25"/>
      <c r="F64" s="25"/>
      <c r="G64" s="25"/>
      <c r="H64" s="30"/>
    </row>
    <row r="65" spans="1:20" s="31" customFormat="1" x14ac:dyDescent="0.25">
      <c r="A65" s="25" t="s">
        <v>25</v>
      </c>
      <c r="B65" s="25"/>
      <c r="C65" s="25"/>
      <c r="D65" s="25"/>
      <c r="E65" s="25"/>
      <c r="F65" s="25"/>
      <c r="G65" s="25"/>
      <c r="H65" s="30"/>
    </row>
    <row r="66" spans="1:20" s="31" customFormat="1" ht="15.75" hidden="1" thickBot="1" x14ac:dyDescent="0.3">
      <c r="A66" s="25" t="s">
        <v>1</v>
      </c>
      <c r="B66" s="25"/>
      <c r="C66" s="25"/>
      <c r="D66" s="25"/>
      <c r="E66" s="25"/>
      <c r="F66" s="25"/>
      <c r="G66" s="25"/>
      <c r="H66" s="30"/>
      <c r="I66" s="55" t="s">
        <v>26</v>
      </c>
      <c r="J66" s="55"/>
      <c r="K66" s="55"/>
      <c r="L66" s="55"/>
      <c r="M66" s="55"/>
      <c r="N66" s="55"/>
      <c r="O66" s="55"/>
      <c r="P66" s="55"/>
      <c r="Q66" s="55"/>
      <c r="R66" s="55"/>
      <c r="S66" s="55"/>
      <c r="T66" s="49" t="e">
        <f>SUBTOTAL(9,#REF!)</f>
        <v>#REF!</v>
      </c>
    </row>
    <row r="67" spans="1:20" s="31" customFormat="1" x14ac:dyDescent="0.25">
      <c r="A67" s="25"/>
      <c r="B67" s="25"/>
      <c r="C67" s="25"/>
      <c r="D67" s="25"/>
      <c r="E67" s="25"/>
      <c r="F67" s="25"/>
      <c r="G67" s="25"/>
      <c r="H67" s="30"/>
    </row>
  </sheetData>
  <mergeCells count="6">
    <mergeCell ref="I66:S66"/>
    <mergeCell ref="I63:S63"/>
    <mergeCell ref="I57:S57"/>
    <mergeCell ref="I7:K7"/>
    <mergeCell ref="I8:M8"/>
    <mergeCell ref="I22:S22"/>
  </mergeCells>
  <pageMargins left="0.75" right="0.75" top="1" bottom="1" header="0.5" footer="0.5"/>
  <pageSetup scale="34" fitToHeight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03"/>
  <sheetViews>
    <sheetView showGridLines="0" tabSelected="1" topLeftCell="H1" zoomScale="80" zoomScaleNormal="80" workbookViewId="0">
      <pane ySplit="15" topLeftCell="A16" activePane="bottomLeft" state="frozen"/>
      <selection pane="bottomLeft" activeCell="I17" sqref="I17"/>
    </sheetView>
  </sheetViews>
  <sheetFormatPr defaultRowHeight="15" x14ac:dyDescent="0.25"/>
  <cols>
    <col min="1" max="1" width="11.85546875" hidden="1" customWidth="1"/>
    <col min="2" max="2" width="17.85546875" hidden="1" customWidth="1"/>
    <col min="3" max="5" width="17.7109375" hidden="1" customWidth="1"/>
    <col min="6" max="6" width="9.140625" hidden="1" customWidth="1"/>
    <col min="7" max="7" width="11.140625" hidden="1" customWidth="1"/>
    <col min="8" max="8" width="2.140625" customWidth="1"/>
    <col min="9" max="9" width="17.42578125" bestFit="1" customWidth="1"/>
    <col min="10" max="10" width="44.140625" bestFit="1" customWidth="1"/>
    <col min="11" max="11" width="22.5703125" hidden="1" customWidth="1"/>
    <col min="12" max="12" width="17.85546875" bestFit="1" customWidth="1"/>
    <col min="13" max="13" width="12.140625" bestFit="1" customWidth="1"/>
    <col min="14" max="14" width="43.85546875" bestFit="1" customWidth="1"/>
    <col min="15" max="15" width="23.42578125" bestFit="1" customWidth="1"/>
    <col min="16" max="16" width="28.140625" bestFit="1" customWidth="1"/>
    <col min="17" max="17" width="16.42578125" bestFit="1" customWidth="1"/>
    <col min="18" max="18" width="14.85546875" bestFit="1" customWidth="1"/>
    <col min="19" max="19" width="15.85546875" bestFit="1" customWidth="1"/>
    <col min="20" max="20" width="13" bestFit="1" customWidth="1"/>
  </cols>
  <sheetData>
    <row r="1" spans="1:20" s="25" customFormat="1" ht="12.75" hidden="1" x14ac:dyDescent="0.2">
      <c r="A1" s="25" t="s">
        <v>27</v>
      </c>
      <c r="B1" s="26" t="s">
        <v>1</v>
      </c>
      <c r="C1" s="26" t="s">
        <v>1</v>
      </c>
      <c r="D1" s="26" t="s">
        <v>1</v>
      </c>
      <c r="E1" s="26" t="s">
        <v>1</v>
      </c>
      <c r="F1" s="26" t="s">
        <v>1</v>
      </c>
      <c r="G1" s="26" t="s">
        <v>1</v>
      </c>
      <c r="H1" s="26"/>
      <c r="I1" s="25" t="s">
        <v>2</v>
      </c>
      <c r="J1" s="25" t="s">
        <v>2</v>
      </c>
      <c r="K1" s="25" t="s">
        <v>1</v>
      </c>
      <c r="L1" s="25" t="s">
        <v>2</v>
      </c>
      <c r="M1" s="25" t="s">
        <v>2</v>
      </c>
      <c r="N1" s="25" t="s">
        <v>2</v>
      </c>
      <c r="O1" s="25" t="s">
        <v>2</v>
      </c>
      <c r="P1" s="25" t="s">
        <v>2</v>
      </c>
      <c r="Q1" s="25" t="s">
        <v>2</v>
      </c>
      <c r="R1" s="25" t="s">
        <v>2</v>
      </c>
      <c r="S1" s="25" t="s">
        <v>2</v>
      </c>
      <c r="T1" s="25" t="s">
        <v>2</v>
      </c>
    </row>
    <row r="2" spans="1:20" s="25" customFormat="1" hidden="1" x14ac:dyDescent="0.25">
      <c r="A2" s="25" t="s">
        <v>1</v>
      </c>
      <c r="B2" s="25" t="s">
        <v>3</v>
      </c>
      <c r="C2" s="27">
        <f ca="1">DATE(IF(MONTH(TODAY())&gt;=10,YEAR(TODAY()),YEAR(TODAY())-1),10,1)</f>
        <v>45566</v>
      </c>
      <c r="D2" s="28"/>
      <c r="E2" s="28"/>
      <c r="F2" s="28"/>
      <c r="G2" s="28"/>
      <c r="H2" s="28"/>
    </row>
    <row r="3" spans="1:20" s="25" customFormat="1" hidden="1" x14ac:dyDescent="0.25">
      <c r="A3" s="25" t="s">
        <v>1</v>
      </c>
      <c r="B3" s="25" t="s">
        <v>4</v>
      </c>
      <c r="C3" s="27">
        <f ca="1">EOMONTH(TODAY(),0)</f>
        <v>45688</v>
      </c>
      <c r="D3" s="28"/>
      <c r="E3" s="28"/>
      <c r="F3" s="28"/>
      <c r="G3" s="28"/>
      <c r="H3" s="28"/>
    </row>
    <row r="4" spans="1:20" s="25" customFormat="1" ht="12.75" hidden="1" x14ac:dyDescent="0.2">
      <c r="A4" s="26" t="s">
        <v>1</v>
      </c>
      <c r="B4" s="25" t="s">
        <v>5</v>
      </c>
      <c r="C4" s="29" t="str">
        <f>DateFilter</f>
        <v>..9/30/2020</v>
      </c>
      <c r="D4" s="29"/>
      <c r="E4" s="29"/>
      <c r="F4" s="29"/>
      <c r="G4" s="29"/>
      <c r="H4" s="29"/>
    </row>
    <row r="5" spans="1:20" s="25" customFormat="1" ht="12.75" x14ac:dyDescent="0.2">
      <c r="A5" s="26"/>
      <c r="B5" s="25" t="s">
        <v>28</v>
      </c>
      <c r="C5" s="29" t="str">
        <f>Grant</f>
        <v>3460 92 URHS FY2025</v>
      </c>
      <c r="D5" s="29"/>
      <c r="E5" s="29"/>
      <c r="F5" s="29"/>
      <c r="G5" s="29"/>
      <c r="H5" s="29"/>
    </row>
    <row r="6" spans="1:20" x14ac:dyDescent="0.25">
      <c r="A6" s="25"/>
      <c r="B6" s="25" t="s">
        <v>29</v>
      </c>
      <c r="C6" s="29" t="str">
        <f>Grant</f>
        <v>3460 92 URHS FY2025</v>
      </c>
      <c r="D6" s="29"/>
      <c r="E6" s="29"/>
      <c r="F6" s="25"/>
      <c r="G6" s="25"/>
      <c r="H6" s="30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</row>
    <row r="7" spans="1:20" ht="23.25" x14ac:dyDescent="0.35">
      <c r="A7" s="25"/>
      <c r="B7" s="25" t="s">
        <v>7</v>
      </c>
      <c r="C7" s="29"/>
      <c r="D7" s="29"/>
      <c r="E7" s="29"/>
      <c r="F7" s="25"/>
      <c r="G7" s="25"/>
      <c r="H7" s="30"/>
      <c r="I7" s="56" t="s">
        <v>9</v>
      </c>
      <c r="J7" s="56"/>
      <c r="K7" s="56"/>
      <c r="L7" s="31"/>
      <c r="M7" s="31"/>
      <c r="N7" s="31"/>
      <c r="O7" s="31"/>
      <c r="P7" s="31"/>
      <c r="Q7" s="31"/>
      <c r="R7" s="31"/>
      <c r="S7" s="31"/>
      <c r="T7" s="31"/>
    </row>
    <row r="8" spans="1:20" x14ac:dyDescent="0.25">
      <c r="A8" s="25"/>
      <c r="B8" s="25" t="s">
        <v>10</v>
      </c>
      <c r="C8" s="29"/>
      <c r="D8" s="29"/>
      <c r="E8" s="29"/>
      <c r="F8" s="25"/>
      <c r="G8" s="25"/>
      <c r="H8" s="30"/>
      <c r="I8" s="57" t="str">
        <f ca="1">"For the Period of "&amp;TEXT($C$2,"MMMM D, YYYY")&amp;" through "&amp;TEXT($C$3,"MMMM D, YYYY")</f>
        <v>For the Period of October 1, 2024 through January 31, 2025</v>
      </c>
      <c r="J8" s="57"/>
      <c r="K8" s="57"/>
      <c r="L8" s="57"/>
      <c r="M8" s="57"/>
      <c r="N8" s="31"/>
      <c r="O8" s="31"/>
      <c r="P8" s="31"/>
      <c r="Q8" s="31"/>
      <c r="R8" s="31"/>
      <c r="S8" s="31"/>
      <c r="T8" s="31"/>
    </row>
    <row r="9" spans="1:20" x14ac:dyDescent="0.25">
      <c r="A9" s="25"/>
      <c r="B9" s="25" t="s">
        <v>11</v>
      </c>
      <c r="C9" s="32" t="str">
        <f ca="1">YEAR($C$2)&amp;"/0"</f>
        <v>2024/0</v>
      </c>
      <c r="D9" s="29"/>
      <c r="E9" s="29"/>
      <c r="F9" s="25"/>
      <c r="G9" s="25"/>
      <c r="H9" s="30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</row>
    <row r="10" spans="1:20" x14ac:dyDescent="0.25">
      <c r="A10" s="25"/>
      <c r="B10" s="25" t="s">
        <v>12</v>
      </c>
      <c r="C10" s="25"/>
      <c r="D10" s="32"/>
      <c r="E10" s="32"/>
      <c r="F10" s="25"/>
      <c r="G10" s="25"/>
      <c r="H10" s="30"/>
      <c r="I10" s="31" t="str">
        <f>B6</f>
        <v>Contract</v>
      </c>
      <c r="J10" s="33" t="str">
        <f>C6</f>
        <v>3460 92 URHS FY2025</v>
      </c>
      <c r="K10" s="34"/>
      <c r="L10" s="33"/>
      <c r="M10" s="31"/>
      <c r="N10" s="31"/>
      <c r="O10" s="31"/>
      <c r="P10" s="31"/>
      <c r="Q10" s="31"/>
      <c r="R10" s="31"/>
      <c r="S10" s="31"/>
      <c r="T10" s="31"/>
    </row>
    <row r="11" spans="1:20" x14ac:dyDescent="0.25">
      <c r="A11" s="25"/>
      <c r="B11" s="25"/>
      <c r="C11" s="25"/>
      <c r="D11" s="25"/>
      <c r="E11" s="25"/>
      <c r="F11" s="25"/>
      <c r="G11" s="25"/>
      <c r="H11" s="30"/>
      <c r="I11" s="31" t="str">
        <f>B7</f>
        <v>Location</v>
      </c>
      <c r="J11" s="33"/>
      <c r="K11" s="31"/>
      <c r="L11" s="35"/>
      <c r="M11" s="31"/>
      <c r="N11" s="31"/>
      <c r="O11" s="31"/>
      <c r="P11" s="31"/>
      <c r="Q11" s="31"/>
      <c r="R11" s="31"/>
      <c r="S11" s="31"/>
      <c r="T11" s="31"/>
    </row>
    <row r="12" spans="1:20" x14ac:dyDescent="0.25">
      <c r="A12" s="25"/>
      <c r="B12" s="25"/>
      <c r="C12" s="25"/>
      <c r="D12" s="25"/>
      <c r="E12" s="25"/>
      <c r="F12" s="25"/>
      <c r="G12" s="25"/>
      <c r="H12" s="30"/>
      <c r="I12" s="31" t="str">
        <f>B8</f>
        <v>Company</v>
      </c>
      <c r="J12" s="33"/>
      <c r="K12" s="31"/>
      <c r="L12" s="31"/>
      <c r="M12" s="31"/>
      <c r="N12" s="31"/>
      <c r="O12" s="31"/>
      <c r="P12" s="31"/>
      <c r="Q12" s="31"/>
      <c r="R12" s="36" t="s">
        <v>13</v>
      </c>
      <c r="S12" s="37">
        <v>45668</v>
      </c>
      <c r="T12" s="31"/>
    </row>
    <row r="15" spans="1:20" x14ac:dyDescent="0.25">
      <c r="A15" s="25"/>
      <c r="B15" s="25"/>
      <c r="C15" s="25"/>
      <c r="D15" s="25"/>
      <c r="E15" s="25"/>
      <c r="F15" s="25"/>
      <c r="G15" s="25"/>
      <c r="H15" s="30"/>
      <c r="I15" s="38" t="s">
        <v>14</v>
      </c>
      <c r="J15" s="38" t="s">
        <v>15</v>
      </c>
      <c r="K15" s="38"/>
      <c r="L15" s="38" t="s">
        <v>16</v>
      </c>
      <c r="M15" s="38" t="s">
        <v>17</v>
      </c>
      <c r="N15" s="38" t="s">
        <v>18</v>
      </c>
      <c r="O15" s="38" t="s">
        <v>19</v>
      </c>
      <c r="P15" s="38" t="s">
        <v>20</v>
      </c>
      <c r="Q15" s="38" t="s">
        <v>30</v>
      </c>
      <c r="R15" s="38" t="s">
        <v>22</v>
      </c>
      <c r="S15" s="38" t="s">
        <v>23</v>
      </c>
      <c r="T15" s="38" t="s">
        <v>24</v>
      </c>
    </row>
    <row r="16" spans="1:20" x14ac:dyDescent="0.25">
      <c r="A16" s="25"/>
      <c r="B16" s="25"/>
      <c r="C16" s="25"/>
      <c r="D16" s="25"/>
      <c r="E16" s="25"/>
      <c r="F16" s="25"/>
      <c r="G16" s="25"/>
      <c r="H16" s="30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</row>
    <row r="17" spans="1:20" x14ac:dyDescent="0.25">
      <c r="A17" s="25"/>
      <c r="B17" s="25"/>
      <c r="C17" s="25"/>
      <c r="D17" s="25"/>
      <c r="E17" s="25"/>
      <c r="F17" s="25" t="str">
        <f>"5021-0-5800-3460"</f>
        <v>5021-0-5800-3460</v>
      </c>
      <c r="G17" s="25" t="str">
        <f>"5021-0-5800-3460"</f>
        <v>5021-0-5800-3460</v>
      </c>
      <c r="H17" s="30"/>
      <c r="I17" s="40" t="str">
        <f>G17</f>
        <v>5021-0-5800-3460</v>
      </c>
      <c r="J17" s="40" t="str">
        <f>"Grant Revenue"</f>
        <v>Grant Revenue</v>
      </c>
      <c r="K17" s="31"/>
      <c r="L17" s="31"/>
      <c r="M17" s="31"/>
      <c r="N17" s="31"/>
      <c r="O17" s="31"/>
      <c r="P17" s="31"/>
      <c r="Q17" s="40"/>
      <c r="R17" s="41"/>
      <c r="S17" s="31"/>
      <c r="T17" s="31"/>
    </row>
    <row r="18" spans="1:20" s="31" customFormat="1" x14ac:dyDescent="0.25">
      <c r="A18" s="25" t="s">
        <v>25</v>
      </c>
      <c r="B18" s="42"/>
      <c r="C18" s="42"/>
      <c r="D18" s="25"/>
      <c r="E18" s="25"/>
      <c r="F18" s="42" t="e">
        <f>#REF!</f>
        <v>#REF!</v>
      </c>
      <c r="G18" s="42" t="e">
        <f>#REF!</f>
        <v>#REF!</v>
      </c>
      <c r="H18" s="43"/>
      <c r="K18" s="31" t="str">
        <f>"""GP"",""Ute Indian Tribe Membership Fund"",""aaa_contract_detail_sp"",""JRNENTRY"",""1578872"",""aaGLHdrID"",""1746677"",""aaGLDistID"",""1"",""aaGLAssignID"",""1"",""contract"",""3460 92 URHS FY2025"""</f>
        <v>"GP","Ute Indian Tribe Membership Fund","aaa_contract_detail_sp","JRNENTRY","1578872","aaGLHdrID","1746677","aaGLDistID","1","aaGLAssignID","1","contract","3460 92 URHS FY2025"</v>
      </c>
      <c r="L18" s="44">
        <v>45625</v>
      </c>
      <c r="M18" s="31">
        <v>1578872</v>
      </c>
      <c r="N18" s="31" t="str">
        <f>""</f>
        <v/>
      </c>
      <c r="O18" s="31" t="str">
        <f>""</f>
        <v/>
      </c>
      <c r="P18" s="31" t="str">
        <f>""</f>
        <v/>
      </c>
      <c r="Q18" s="45" t="str">
        <f>""</f>
        <v/>
      </c>
      <c r="R18" s="46">
        <v>0</v>
      </c>
      <c r="S18" s="46">
        <v>-117537.56</v>
      </c>
      <c r="T18" s="47">
        <f t="shared" ref="T18" si="0">SUM(R18:S18)</f>
        <v>-117537.56</v>
      </c>
    </row>
    <row r="19" spans="1:20" s="31" customFormat="1" x14ac:dyDescent="0.25">
      <c r="A19" s="25"/>
      <c r="B19" s="42"/>
      <c r="C19" s="42"/>
      <c r="D19" s="25"/>
      <c r="E19" s="25"/>
      <c r="F19" s="42" t="e">
        <f>#REF!</f>
        <v>#REF!</v>
      </c>
      <c r="G19" s="42" t="e">
        <f>#REF!</f>
        <v>#REF!</v>
      </c>
      <c r="H19" s="43"/>
    </row>
    <row r="20" spans="1:20" s="31" customFormat="1" x14ac:dyDescent="0.25">
      <c r="A20" s="25"/>
      <c r="B20" s="25"/>
      <c r="C20" s="25"/>
      <c r="D20" s="25"/>
      <c r="E20" s="25"/>
      <c r="F20" s="25"/>
      <c r="G20" s="25"/>
      <c r="H20" s="30"/>
      <c r="I20" s="54" t="str">
        <f>I17&amp;"   "&amp;J17&amp;"         Total:"</f>
        <v>5021-0-5800-3460   Grant Revenue         Total:</v>
      </c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48">
        <f>SUBTOTAL(9,T18:T19)</f>
        <v>-117537.56</v>
      </c>
    </row>
    <row r="23" spans="1:20" s="31" customFormat="1" x14ac:dyDescent="0.25">
      <c r="A23" s="25" t="s">
        <v>25</v>
      </c>
      <c r="B23" s="25"/>
      <c r="C23" s="25"/>
      <c r="D23" s="25"/>
      <c r="E23" s="25"/>
      <c r="F23" s="25" t="str">
        <f>"5021-0-6000-3460"</f>
        <v>5021-0-6000-3460</v>
      </c>
      <c r="G23" s="25" t="str">
        <f>"5021-0-6000-3460"</f>
        <v>5021-0-6000-3460</v>
      </c>
      <c r="H23" s="30"/>
      <c r="I23" s="40" t="str">
        <f>G23</f>
        <v>5021-0-6000-3460</v>
      </c>
      <c r="J23" s="40" t="str">
        <f>"Professional and Technical Services"</f>
        <v>Professional and Technical Services</v>
      </c>
      <c r="Q23" s="40"/>
      <c r="R23" s="41"/>
    </row>
    <row r="24" spans="1:20" s="31" customFormat="1" x14ac:dyDescent="0.25">
      <c r="A24" s="25" t="s">
        <v>25</v>
      </c>
      <c r="B24" s="42"/>
      <c r="C24" s="42"/>
      <c r="D24" s="25"/>
      <c r="E24" s="25"/>
      <c r="F24" s="42" t="str">
        <f t="shared" ref="F24:G25" si="1">F23</f>
        <v>5021-0-6000-3460</v>
      </c>
      <c r="G24" s="42" t="str">
        <f t="shared" si="1"/>
        <v>5021-0-6000-3460</v>
      </c>
      <c r="H24" s="43"/>
      <c r="K24" s="31" t="str">
        <f>"""GP"",""Ute Indian Tribe Membership Fund"",""aaa_contract_detail_sp"",""JRNENTRY"",""1580456"",""aaGLHdrID"",""1748199"",""aaGLDistID"",""2"",""aaGLAssignID"",""1"",""contract"",""3460 92 URHS FY2025"""</f>
        <v>"GP","Ute Indian Tribe Membership Fund","aaa_contract_detail_sp","JRNENTRY","1580456","aaGLHdrID","1748199","aaGLDistID","2","aaGLAssignID","1","contract","3460 92 URHS FY2025"</v>
      </c>
      <c r="L24" s="44">
        <v>45628</v>
      </c>
      <c r="M24" s="31">
        <v>1580456</v>
      </c>
      <c r="N24" s="31" t="str">
        <f>"ONSOLVE INTERMEDIATE HOLDING COMPANY"</f>
        <v>ONSOLVE INTERMEDIATE HOLDING COMPANY</v>
      </c>
      <c r="O24" s="31" t="str">
        <f>"15329275"</f>
        <v>15329275</v>
      </c>
      <c r="P24" s="31" t="str">
        <f>"One Call Now sysem"</f>
        <v>One Call Now sysem</v>
      </c>
      <c r="Q24" s="45" t="str">
        <f>"00000000457921"</f>
        <v>00000000457921</v>
      </c>
      <c r="R24" s="46">
        <v>664.11</v>
      </c>
      <c r="S24" s="46">
        <v>0</v>
      </c>
      <c r="T24" s="47">
        <f t="shared" ref="T24:T25" si="2">SUM(R24:S24)</f>
        <v>664.11</v>
      </c>
    </row>
    <row r="25" spans="1:20" s="31" customFormat="1" x14ac:dyDescent="0.25">
      <c r="A25" s="25" t="s">
        <v>25</v>
      </c>
      <c r="B25" s="42"/>
      <c r="C25" s="42"/>
      <c r="D25" s="25"/>
      <c r="E25" s="25"/>
      <c r="F25" s="42" t="str">
        <f t="shared" si="1"/>
        <v>5021-0-6000-3460</v>
      </c>
      <c r="G25" s="42" t="str">
        <f t="shared" si="1"/>
        <v>5021-0-6000-3460</v>
      </c>
      <c r="H25" s="43"/>
      <c r="K25" s="31" t="str">
        <f>"""GP"",""Ute Indian Tribe Membership Fund"",""aaa_contract_detail_sp"",""JRNENTRY"",""1580339"",""aaGLHdrID"",""1748131"",""aaGLDistID"",""2"",""aaGLAssignID"",""1"",""contract"",""3460 92 URHS FY2025"""</f>
        <v>"GP","Ute Indian Tribe Membership Fund","aaa_contract_detail_sp","JRNENTRY","1580339","aaGLHdrID","1748131","aaGLDistID","2","aaGLAssignID","1","contract","3460 92 URHS FY2025"</v>
      </c>
      <c r="L25" s="44">
        <v>45643</v>
      </c>
      <c r="M25" s="31">
        <v>1580339</v>
      </c>
      <c r="N25" s="31" t="str">
        <f>"Brittany A. Luck"</f>
        <v>Brittany A. Luck</v>
      </c>
      <c r="O25" s="31" t="str">
        <f>"A02433292 SPRNG 2024"</f>
        <v>A02433292 SPRNG 2024</v>
      </c>
      <c r="P25" s="31" t="str">
        <f>"Student registration fee"</f>
        <v>Student registration fee</v>
      </c>
      <c r="Q25" s="45" t="str">
        <f>"00000000457888"</f>
        <v>00000000457888</v>
      </c>
      <c r="R25" s="46">
        <v>102.95</v>
      </c>
      <c r="S25" s="46">
        <v>0</v>
      </c>
      <c r="T25" s="47">
        <f t="shared" si="2"/>
        <v>102.95</v>
      </c>
    </row>
    <row r="26" spans="1:20" s="31" customFormat="1" ht="12.75" x14ac:dyDescent="0.2">
      <c r="A26" s="25" t="s">
        <v>25</v>
      </c>
      <c r="B26" s="42"/>
      <c r="C26" s="42"/>
      <c r="D26" s="25"/>
      <c r="E26" s="25"/>
      <c r="F26" s="42" t="str">
        <f>F24</f>
        <v>5021-0-6000-3460</v>
      </c>
      <c r="G26" s="42" t="str">
        <f>G24</f>
        <v>5021-0-6000-3460</v>
      </c>
      <c r="H26" s="43"/>
    </row>
    <row r="27" spans="1:20" s="31" customFormat="1" x14ac:dyDescent="0.25">
      <c r="A27" s="25" t="s">
        <v>25</v>
      </c>
      <c r="B27" s="25"/>
      <c r="C27" s="25"/>
      <c r="D27" s="25"/>
      <c r="E27" s="25"/>
      <c r="F27" s="25"/>
      <c r="G27" s="25"/>
      <c r="H27" s="30"/>
      <c r="I27" s="54" t="str">
        <f>I23&amp;"   "&amp;J23&amp;"         Total:"</f>
        <v>5021-0-6000-3460   Professional and Technical Services         Total:</v>
      </c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48">
        <f>SUBTOTAL(9,T24:T26)</f>
        <v>767.06000000000006</v>
      </c>
    </row>
    <row r="28" spans="1:20" s="31" customFormat="1" x14ac:dyDescent="0.25">
      <c r="A28" s="25" t="s">
        <v>25</v>
      </c>
      <c r="B28" s="25"/>
      <c r="C28" s="25"/>
      <c r="D28" s="25"/>
      <c r="E28" s="25"/>
      <c r="F28" s="25"/>
      <c r="G28" s="25"/>
      <c r="H28" s="30"/>
    </row>
    <row r="29" spans="1:20" s="31" customFormat="1" x14ac:dyDescent="0.25">
      <c r="A29" s="25" t="s">
        <v>25</v>
      </c>
      <c r="B29" s="25"/>
      <c r="C29" s="25"/>
      <c r="D29" s="25"/>
      <c r="E29" s="25"/>
      <c r="F29" s="25"/>
      <c r="G29" s="25"/>
      <c r="H29" s="30"/>
    </row>
    <row r="30" spans="1:20" s="31" customFormat="1" ht="12.75" x14ac:dyDescent="0.2">
      <c r="A30" s="25" t="s">
        <v>25</v>
      </c>
      <c r="B30" s="25"/>
      <c r="C30" s="25"/>
      <c r="D30" s="25"/>
      <c r="E30" s="25"/>
      <c r="F30" s="25" t="str">
        <f>"5021-0-6100-3460"</f>
        <v>5021-0-6100-3460</v>
      </c>
      <c r="G30" s="25" t="str">
        <f>"5021-0-6100-3460"</f>
        <v>5021-0-6100-3460</v>
      </c>
      <c r="H30" s="30"/>
      <c r="I30" s="40" t="str">
        <f>G30</f>
        <v>5021-0-6100-3460</v>
      </c>
      <c r="J30" s="40" t="str">
        <f>"Salaries and Wages"</f>
        <v>Salaries and Wages</v>
      </c>
      <c r="Q30" s="40"/>
      <c r="R30" s="41"/>
    </row>
    <row r="31" spans="1:20" s="31" customFormat="1" x14ac:dyDescent="0.25">
      <c r="A31" s="25" t="s">
        <v>25</v>
      </c>
      <c r="B31" s="42"/>
      <c r="C31" s="42"/>
      <c r="D31" s="25"/>
      <c r="E31" s="25"/>
      <c r="F31" s="42" t="e">
        <f>#REF!</f>
        <v>#REF!</v>
      </c>
      <c r="G31" s="42" t="e">
        <f>#REF!</f>
        <v>#REF!</v>
      </c>
      <c r="H31" s="43"/>
      <c r="K31" s="31" t="str">
        <f>"""GP"",""Ute Indian Tribe Membership Fund"",""aaa_contract_detail_sp"",""JRNENTRY"",""1570884"",""aaGLHdrID"",""1739017"",""aaGLDistID"",""15"",""aaGLAssignID"",""1"",""contract"",""3460 92 URHS FY2025"""</f>
        <v>"GP","Ute Indian Tribe Membership Fund","aaa_contract_detail_sp","JRNENTRY","1570884","aaGLHdrID","1739017","aaGLDistID","15","aaGLAssignID","1","contract","3460 92 URHS FY2025"</v>
      </c>
      <c r="L31" s="44">
        <v>45603</v>
      </c>
      <c r="M31" s="31">
        <v>1570884</v>
      </c>
      <c r="N31" s="31" t="str">
        <f>""</f>
        <v/>
      </c>
      <c r="O31" s="31" t="str">
        <f>""</f>
        <v/>
      </c>
      <c r="P31" s="31" t="str">
        <f>""</f>
        <v/>
      </c>
      <c r="Q31" s="45" t="str">
        <f>""</f>
        <v/>
      </c>
      <c r="R31" s="46">
        <v>2008.72</v>
      </c>
      <c r="S31" s="46">
        <v>0</v>
      </c>
      <c r="T31" s="47">
        <f t="shared" ref="T31:T57" si="3">SUM(R31:S31)</f>
        <v>2008.72</v>
      </c>
    </row>
    <row r="32" spans="1:20" s="31" customFormat="1" x14ac:dyDescent="0.25">
      <c r="A32" s="25" t="s">
        <v>25</v>
      </c>
      <c r="B32" s="42"/>
      <c r="C32" s="42"/>
      <c r="D32" s="25"/>
      <c r="E32" s="25"/>
      <c r="F32" s="42" t="e">
        <f t="shared" ref="F32:G57" si="4">F31</f>
        <v>#REF!</v>
      </c>
      <c r="G32" s="42" t="e">
        <f t="shared" si="4"/>
        <v>#REF!</v>
      </c>
      <c r="H32" s="43"/>
      <c r="K32" s="31" t="str">
        <f>"""GP"",""Ute Indian Tribe Membership Fund"",""aaa_contract_detail_sp"",""JRNENTRY"",""1570884"",""aaGLHdrID"",""1739017"",""aaGLDistID"",""16"",""aaGLAssignID"",""1"",""contract"",""3460 92 URHS FY2025"""</f>
        <v>"GP","Ute Indian Tribe Membership Fund","aaa_contract_detail_sp","JRNENTRY","1570884","aaGLHdrID","1739017","aaGLDistID","16","aaGLAssignID","1","contract","3460 92 URHS FY2025"</v>
      </c>
      <c r="L32" s="44">
        <v>45603</v>
      </c>
      <c r="M32" s="31">
        <v>1570884</v>
      </c>
      <c r="N32" s="31" t="str">
        <f>""</f>
        <v/>
      </c>
      <c r="O32" s="31" t="str">
        <f>""</f>
        <v/>
      </c>
      <c r="P32" s="31" t="str">
        <f>""</f>
        <v/>
      </c>
      <c r="Q32" s="45" t="str">
        <f>""</f>
        <v/>
      </c>
      <c r="R32" s="46">
        <v>286.95999999999998</v>
      </c>
      <c r="S32" s="46">
        <v>0</v>
      </c>
      <c r="T32" s="47">
        <f t="shared" si="3"/>
        <v>286.95999999999998</v>
      </c>
    </row>
    <row r="33" spans="1:20" s="31" customFormat="1" x14ac:dyDescent="0.25">
      <c r="A33" s="25" t="s">
        <v>25</v>
      </c>
      <c r="B33" s="42"/>
      <c r="C33" s="42"/>
      <c r="D33" s="25"/>
      <c r="E33" s="25"/>
      <c r="F33" s="42" t="e">
        <f t="shared" si="4"/>
        <v>#REF!</v>
      </c>
      <c r="G33" s="42" t="e">
        <f t="shared" si="4"/>
        <v>#REF!</v>
      </c>
      <c r="H33" s="43"/>
      <c r="K33" s="31" t="str">
        <f>"""GP"",""Ute Indian Tribe Membership Fund"",""aaa_contract_detail_sp"",""JRNENTRY"",""1570950"",""aaGLHdrID"",""1739083"",""aaGLDistID"",""16"",""aaGLAssignID"",""1"",""contract"",""3460 92 URHS FY2025"""</f>
        <v>"GP","Ute Indian Tribe Membership Fund","aaa_contract_detail_sp","JRNENTRY","1570950","aaGLHdrID","1739083","aaGLDistID","16","aaGLAssignID","1","contract","3460 92 URHS FY2025"</v>
      </c>
      <c r="L33" s="44">
        <v>45603</v>
      </c>
      <c r="M33" s="31">
        <v>1570950</v>
      </c>
      <c r="N33" s="31" t="str">
        <f>""</f>
        <v/>
      </c>
      <c r="O33" s="31" t="str">
        <f>""</f>
        <v/>
      </c>
      <c r="P33" s="31" t="str">
        <f>""</f>
        <v/>
      </c>
      <c r="Q33" s="45" t="str">
        <f>""</f>
        <v/>
      </c>
      <c r="R33" s="46">
        <v>2851.84</v>
      </c>
      <c r="S33" s="46">
        <v>0</v>
      </c>
      <c r="T33" s="47">
        <f t="shared" si="3"/>
        <v>2851.84</v>
      </c>
    </row>
    <row r="34" spans="1:20" s="31" customFormat="1" x14ac:dyDescent="0.25">
      <c r="A34" s="25" t="s">
        <v>25</v>
      </c>
      <c r="B34" s="42"/>
      <c r="C34" s="42"/>
      <c r="D34" s="25"/>
      <c r="E34" s="25"/>
      <c r="F34" s="42" t="e">
        <f t="shared" si="4"/>
        <v>#REF!</v>
      </c>
      <c r="G34" s="42" t="e">
        <f t="shared" si="4"/>
        <v>#REF!</v>
      </c>
      <c r="H34" s="43"/>
      <c r="K34" s="31" t="str">
        <f>"""GP"",""Ute Indian Tribe Membership Fund"",""aaa_contract_detail_sp"",""JRNENTRY"",""1571044"",""aaGLHdrID"",""1739177"",""aaGLDistID"",""15"",""aaGLAssignID"",""1"",""contract"",""3460 92 URHS FY2025"""</f>
        <v>"GP","Ute Indian Tribe Membership Fund","aaa_contract_detail_sp","JRNENTRY","1571044","aaGLHdrID","1739177","aaGLDistID","15","aaGLAssignID","1","contract","3460 92 URHS FY2025"</v>
      </c>
      <c r="L34" s="44">
        <v>45603</v>
      </c>
      <c r="M34" s="31">
        <v>1571044</v>
      </c>
      <c r="N34" s="31" t="str">
        <f>""</f>
        <v/>
      </c>
      <c r="O34" s="31" t="str">
        <f>""</f>
        <v/>
      </c>
      <c r="P34" s="31" t="str">
        <f>""</f>
        <v/>
      </c>
      <c r="Q34" s="45" t="str">
        <f>""</f>
        <v/>
      </c>
      <c r="R34" s="46">
        <v>3094.4</v>
      </c>
      <c r="S34" s="46">
        <v>0</v>
      </c>
      <c r="T34" s="47">
        <f t="shared" si="3"/>
        <v>3094.4</v>
      </c>
    </row>
    <row r="35" spans="1:20" s="31" customFormat="1" x14ac:dyDescent="0.25">
      <c r="A35" s="25" t="s">
        <v>25</v>
      </c>
      <c r="B35" s="42"/>
      <c r="C35" s="42"/>
      <c r="D35" s="25"/>
      <c r="E35" s="25"/>
      <c r="F35" s="42" t="e">
        <f t="shared" si="4"/>
        <v>#REF!</v>
      </c>
      <c r="G35" s="42" t="e">
        <f t="shared" si="4"/>
        <v>#REF!</v>
      </c>
      <c r="H35" s="43"/>
      <c r="K35" s="31" t="str">
        <f>"""GP"",""Ute Indian Tribe Membership Fund"",""aaa_contract_detail_sp"",""JRNENTRY"",""1571044"",""aaGLHdrID"",""1739177"",""aaGLDistID"",""16"",""aaGLAssignID"",""1"",""contract"",""3460 92 URHS FY2025"""</f>
        <v>"GP","Ute Indian Tribe Membership Fund","aaa_contract_detail_sp","JRNENTRY","1571044","aaGLHdrID","1739177","aaGLDistID","16","aaGLAssignID","1","contract","3460 92 URHS FY2025"</v>
      </c>
      <c r="L35" s="44">
        <v>45603</v>
      </c>
      <c r="M35" s="31">
        <v>1571044</v>
      </c>
      <c r="N35" s="31" t="str">
        <f>""</f>
        <v/>
      </c>
      <c r="O35" s="31" t="str">
        <f>""</f>
        <v/>
      </c>
      <c r="P35" s="31" t="str">
        <f>""</f>
        <v/>
      </c>
      <c r="Q35" s="45" t="str">
        <f>""</f>
        <v/>
      </c>
      <c r="R35" s="46">
        <v>227.2</v>
      </c>
      <c r="S35" s="46">
        <v>0</v>
      </c>
      <c r="T35" s="47">
        <f t="shared" si="3"/>
        <v>227.2</v>
      </c>
    </row>
    <row r="36" spans="1:20" s="31" customFormat="1" x14ac:dyDescent="0.25">
      <c r="A36" s="25" t="s">
        <v>25</v>
      </c>
      <c r="B36" s="42"/>
      <c r="C36" s="42"/>
      <c r="D36" s="25"/>
      <c r="E36" s="25"/>
      <c r="F36" s="42" t="e">
        <f t="shared" si="4"/>
        <v>#REF!</v>
      </c>
      <c r="G36" s="42" t="e">
        <f t="shared" si="4"/>
        <v>#REF!</v>
      </c>
      <c r="H36" s="43"/>
      <c r="K36" s="31" t="str">
        <f>"""GP"",""Ute Indian Tribe Membership Fund"",""aaa_contract_detail_sp"",""JRNENTRY"",""1571049"",""aaGLHdrID"",""1739182"",""aaGLDistID"",""16"",""aaGLAssignID"",""1"",""contract"",""3460 92 URHS FY2025"""</f>
        <v>"GP","Ute Indian Tribe Membership Fund","aaa_contract_detail_sp","JRNENTRY","1571049","aaGLHdrID","1739182","aaGLDistID","16","aaGLAssignID","1","contract","3460 92 URHS FY2025"</v>
      </c>
      <c r="L36" s="44">
        <v>45603</v>
      </c>
      <c r="M36" s="31">
        <v>1571049</v>
      </c>
      <c r="N36" s="31" t="str">
        <f>""</f>
        <v/>
      </c>
      <c r="O36" s="31" t="str">
        <f>""</f>
        <v/>
      </c>
      <c r="P36" s="31" t="str">
        <f>""</f>
        <v/>
      </c>
      <c r="Q36" s="45" t="str">
        <f>""</f>
        <v/>
      </c>
      <c r="R36" s="46">
        <v>3330.88</v>
      </c>
      <c r="S36" s="46">
        <v>0</v>
      </c>
      <c r="T36" s="47">
        <f t="shared" si="3"/>
        <v>3330.88</v>
      </c>
    </row>
    <row r="37" spans="1:20" s="31" customFormat="1" x14ac:dyDescent="0.25">
      <c r="A37" s="25" t="s">
        <v>25</v>
      </c>
      <c r="B37" s="42"/>
      <c r="C37" s="42"/>
      <c r="D37" s="25"/>
      <c r="E37" s="25"/>
      <c r="F37" s="42" t="e">
        <f t="shared" si="4"/>
        <v>#REF!</v>
      </c>
      <c r="G37" s="42" t="e">
        <f t="shared" si="4"/>
        <v>#REF!</v>
      </c>
      <c r="H37" s="43"/>
      <c r="K37" s="31" t="str">
        <f>"""GP"",""Ute Indian Tribe Membership Fund"",""aaa_contract_detail_sp"",""JRNENTRY"",""1571049"",""aaGLHdrID"",""1739182"",""aaGLDistID"",""17"",""aaGLAssignID"",""1"",""contract"",""3460 92 URHS FY2025"""</f>
        <v>"GP","Ute Indian Tribe Membership Fund","aaa_contract_detail_sp","JRNENTRY","1571049","aaGLHdrID","1739182","aaGLDistID","17","aaGLAssignID","1","contract","3460 92 URHS FY2025"</v>
      </c>
      <c r="L37" s="44">
        <v>45603</v>
      </c>
      <c r="M37" s="31">
        <v>1571049</v>
      </c>
      <c r="N37" s="31" t="str">
        <f>""</f>
        <v/>
      </c>
      <c r="O37" s="31" t="str">
        <f>""</f>
        <v/>
      </c>
      <c r="P37" s="31" t="str">
        <f>""</f>
        <v/>
      </c>
      <c r="Q37" s="45" t="str">
        <f>""</f>
        <v/>
      </c>
      <c r="R37" s="46">
        <v>475.84</v>
      </c>
      <c r="S37" s="46">
        <v>0</v>
      </c>
      <c r="T37" s="47">
        <f t="shared" si="3"/>
        <v>475.84</v>
      </c>
    </row>
    <row r="38" spans="1:20" s="31" customFormat="1" x14ac:dyDescent="0.25">
      <c r="A38" s="25" t="s">
        <v>25</v>
      </c>
      <c r="B38" s="42"/>
      <c r="C38" s="42"/>
      <c r="D38" s="25"/>
      <c r="E38" s="25"/>
      <c r="F38" s="42" t="e">
        <f t="shared" si="4"/>
        <v>#REF!</v>
      </c>
      <c r="G38" s="42" t="e">
        <f t="shared" si="4"/>
        <v>#REF!</v>
      </c>
      <c r="H38" s="43"/>
      <c r="K38" s="31" t="str">
        <f>"""GP"",""Ute Indian Tribe Membership Fund"",""aaa_contract_detail_sp"",""JRNENTRY"",""1571049"",""aaGLHdrID"",""1739182"",""aaGLDistID"",""18"",""aaGLAssignID"",""1"",""contract"",""3460 92 URHS FY2025"""</f>
        <v>"GP","Ute Indian Tribe Membership Fund","aaa_contract_detail_sp","JRNENTRY","1571049","aaGLHdrID","1739182","aaGLDistID","18","aaGLAssignID","1","contract","3460 92 URHS FY2025"</v>
      </c>
      <c r="L38" s="44">
        <v>45603</v>
      </c>
      <c r="M38" s="31">
        <v>1571049</v>
      </c>
      <c r="N38" s="31" t="str">
        <f>""</f>
        <v/>
      </c>
      <c r="O38" s="31" t="str">
        <f>""</f>
        <v/>
      </c>
      <c r="P38" s="31" t="str">
        <f>""</f>
        <v/>
      </c>
      <c r="Q38" s="45" t="str">
        <f>""</f>
        <v/>
      </c>
      <c r="R38" s="46">
        <v>146.80000000000001</v>
      </c>
      <c r="S38" s="46">
        <v>0</v>
      </c>
      <c r="T38" s="47">
        <f t="shared" si="3"/>
        <v>146.80000000000001</v>
      </c>
    </row>
    <row r="39" spans="1:20" s="31" customFormat="1" x14ac:dyDescent="0.25">
      <c r="A39" s="25" t="s">
        <v>25</v>
      </c>
      <c r="B39" s="42"/>
      <c r="C39" s="42"/>
      <c r="D39" s="25"/>
      <c r="E39" s="25"/>
      <c r="F39" s="42" t="e">
        <f t="shared" si="4"/>
        <v>#REF!</v>
      </c>
      <c r="G39" s="42" t="e">
        <f t="shared" si="4"/>
        <v>#REF!</v>
      </c>
      <c r="H39" s="43"/>
      <c r="K39" s="31" t="str">
        <f>"""GP"",""Ute Indian Tribe Membership Fund"",""aaa_contract_detail_sp"",""JRNENTRY"",""1571090"",""aaGLHdrID"",""1739223"",""aaGLDistID"",""14"",""aaGLAssignID"",""1"",""contract"",""3460 92 URHS FY2025"""</f>
        <v>"GP","Ute Indian Tribe Membership Fund","aaa_contract_detail_sp","JRNENTRY","1571090","aaGLHdrID","1739223","aaGLDistID","14","aaGLAssignID","1","contract","3460 92 URHS FY2025"</v>
      </c>
      <c r="L39" s="44">
        <v>45603</v>
      </c>
      <c r="M39" s="31">
        <v>1571090</v>
      </c>
      <c r="N39" s="31" t="str">
        <f>""</f>
        <v/>
      </c>
      <c r="O39" s="31" t="str">
        <f>""</f>
        <v/>
      </c>
      <c r="P39" s="31" t="str">
        <f>""</f>
        <v/>
      </c>
      <c r="Q39" s="45" t="str">
        <f>""</f>
        <v/>
      </c>
      <c r="R39" s="46">
        <v>1396.91</v>
      </c>
      <c r="S39" s="46">
        <v>0</v>
      </c>
      <c r="T39" s="47">
        <f t="shared" si="3"/>
        <v>1396.91</v>
      </c>
    </row>
    <row r="40" spans="1:20" s="31" customFormat="1" x14ac:dyDescent="0.25">
      <c r="A40" s="25" t="s">
        <v>25</v>
      </c>
      <c r="B40" s="42"/>
      <c r="C40" s="42"/>
      <c r="D40" s="25"/>
      <c r="E40" s="25"/>
      <c r="F40" s="42" t="e">
        <f t="shared" si="4"/>
        <v>#REF!</v>
      </c>
      <c r="G40" s="42" t="e">
        <f t="shared" si="4"/>
        <v>#REF!</v>
      </c>
      <c r="H40" s="43"/>
      <c r="K40" s="31" t="str">
        <f>"""GP"",""Ute Indian Tribe Membership Fund"",""aaa_contract_detail_sp"",""JRNENTRY"",""1571090"",""aaGLHdrID"",""1739223"",""aaGLDistID"",""15"",""aaGLAssignID"",""1"",""contract"",""3460 92 URHS FY2025"""</f>
        <v>"GP","Ute Indian Tribe Membership Fund","aaa_contract_detail_sp","JRNENTRY","1571090","aaGLHdrID","1739223","aaGLDistID","15","aaGLAssignID","1","contract","3460 92 URHS FY2025"</v>
      </c>
      <c r="L40" s="44">
        <v>45603</v>
      </c>
      <c r="M40" s="31">
        <v>1571090</v>
      </c>
      <c r="N40" s="31" t="str">
        <f>""</f>
        <v/>
      </c>
      <c r="O40" s="31" t="str">
        <f>""</f>
        <v/>
      </c>
      <c r="P40" s="31" t="str">
        <f>""</f>
        <v/>
      </c>
      <c r="Q40" s="45" t="str">
        <f>""</f>
        <v/>
      </c>
      <c r="R40" s="46">
        <v>1252.05</v>
      </c>
      <c r="S40" s="46">
        <v>0</v>
      </c>
      <c r="T40" s="47">
        <f t="shared" si="3"/>
        <v>1252.05</v>
      </c>
    </row>
    <row r="41" spans="1:20" s="31" customFormat="1" x14ac:dyDescent="0.25">
      <c r="A41" s="25" t="s">
        <v>25</v>
      </c>
      <c r="B41" s="42"/>
      <c r="C41" s="42"/>
      <c r="D41" s="25"/>
      <c r="E41" s="25"/>
      <c r="F41" s="42" t="e">
        <f t="shared" si="4"/>
        <v>#REF!</v>
      </c>
      <c r="G41" s="42" t="e">
        <f t="shared" si="4"/>
        <v>#REF!</v>
      </c>
      <c r="H41" s="43"/>
      <c r="K41" s="31" t="str">
        <f>"""GP"",""Ute Indian Tribe Membership Fund"",""aaa_contract_detail_sp"",""JRNENTRY"",""1571091"",""aaGLHdrID"",""1739224"",""aaGLDistID"",""13"",""aaGLAssignID"",""1"",""contract"",""3460 92 URHS FY2025"""</f>
        <v>"GP","Ute Indian Tribe Membership Fund","aaa_contract_detail_sp","JRNENTRY","1571091","aaGLHdrID","1739224","aaGLDistID","13","aaGLAssignID","1","contract","3460 92 URHS FY2025"</v>
      </c>
      <c r="L41" s="44">
        <v>45603</v>
      </c>
      <c r="M41" s="31">
        <v>1571091</v>
      </c>
      <c r="N41" s="31" t="str">
        <f>""</f>
        <v/>
      </c>
      <c r="O41" s="31" t="str">
        <f>""</f>
        <v/>
      </c>
      <c r="P41" s="31" t="str">
        <f>""</f>
        <v/>
      </c>
      <c r="Q41" s="45" t="str">
        <f>""</f>
        <v/>
      </c>
      <c r="R41" s="46">
        <v>2737.92</v>
      </c>
      <c r="S41" s="46">
        <v>0</v>
      </c>
      <c r="T41" s="47">
        <f t="shared" si="3"/>
        <v>2737.92</v>
      </c>
    </row>
    <row r="42" spans="1:20" s="31" customFormat="1" x14ac:dyDescent="0.25">
      <c r="A42" s="25" t="s">
        <v>25</v>
      </c>
      <c r="B42" s="42"/>
      <c r="C42" s="42"/>
      <c r="D42" s="25"/>
      <c r="E42" s="25"/>
      <c r="F42" s="42" t="e">
        <f t="shared" si="4"/>
        <v>#REF!</v>
      </c>
      <c r="G42" s="42" t="e">
        <f t="shared" si="4"/>
        <v>#REF!</v>
      </c>
      <c r="H42" s="43"/>
      <c r="K42" s="31" t="str">
        <f>"""GP"",""Ute Indian Tribe Membership Fund"",""aaa_contract_detail_sp"",""JRNENTRY"",""1571091"",""aaGLHdrID"",""1739224"",""aaGLDistID"",""14"",""aaGLAssignID"",""1"",""contract"",""3460 92 URHS FY2025"""</f>
        <v>"GP","Ute Indian Tribe Membership Fund","aaa_contract_detail_sp","JRNENTRY","1571091","aaGLHdrID","1739224","aaGLDistID","14","aaGLAssignID","1","contract","3460 92 URHS FY2025"</v>
      </c>
      <c r="L42" s="44">
        <v>45603</v>
      </c>
      <c r="M42" s="31">
        <v>1571091</v>
      </c>
      <c r="N42" s="31" t="str">
        <f>""</f>
        <v/>
      </c>
      <c r="O42" s="31" t="str">
        <f>""</f>
        <v/>
      </c>
      <c r="P42" s="31" t="str">
        <f>""</f>
        <v/>
      </c>
      <c r="Q42" s="45" t="str">
        <f>""</f>
        <v/>
      </c>
      <c r="R42" s="46">
        <v>210</v>
      </c>
      <c r="S42" s="46">
        <v>0</v>
      </c>
      <c r="T42" s="47">
        <f t="shared" si="3"/>
        <v>210</v>
      </c>
    </row>
    <row r="43" spans="1:20" s="31" customFormat="1" x14ac:dyDescent="0.25">
      <c r="A43" s="25" t="s">
        <v>25</v>
      </c>
      <c r="B43" s="42"/>
      <c r="C43" s="42"/>
      <c r="D43" s="25"/>
      <c r="E43" s="25"/>
      <c r="F43" s="42" t="e">
        <f t="shared" si="4"/>
        <v>#REF!</v>
      </c>
      <c r="G43" s="42" t="e">
        <f t="shared" si="4"/>
        <v>#REF!</v>
      </c>
      <c r="H43" s="43"/>
      <c r="K43" s="31" t="str">
        <f>"""GP"",""Ute Indian Tribe Membership Fund"",""aaa_contract_detail_sp"",""JRNENTRY"",""1571185"",""aaGLHdrID"",""1739318"",""aaGLDistID"",""13"",""aaGLAssignID"",""1"",""contract"",""3460 92 URHS FY2025"""</f>
        <v>"GP","Ute Indian Tribe Membership Fund","aaa_contract_detail_sp","JRNENTRY","1571185","aaGLHdrID","1739318","aaGLDistID","13","aaGLAssignID","1","contract","3460 92 URHS FY2025"</v>
      </c>
      <c r="L43" s="44">
        <v>45603</v>
      </c>
      <c r="M43" s="31">
        <v>1571185</v>
      </c>
      <c r="N43" s="31" t="str">
        <f>""</f>
        <v/>
      </c>
      <c r="O43" s="31" t="str">
        <f>""</f>
        <v/>
      </c>
      <c r="P43" s="31" t="str">
        <f>""</f>
        <v/>
      </c>
      <c r="Q43" s="45" t="str">
        <f>""</f>
        <v/>
      </c>
      <c r="R43" s="46">
        <v>2508.8000000000002</v>
      </c>
      <c r="S43" s="46">
        <v>0</v>
      </c>
      <c r="T43" s="47">
        <f t="shared" si="3"/>
        <v>2508.8000000000002</v>
      </c>
    </row>
    <row r="44" spans="1:20" s="31" customFormat="1" x14ac:dyDescent="0.25">
      <c r="A44" s="25" t="s">
        <v>25</v>
      </c>
      <c r="B44" s="42"/>
      <c r="C44" s="42"/>
      <c r="D44" s="25"/>
      <c r="E44" s="25"/>
      <c r="F44" s="42" t="e">
        <f t="shared" si="4"/>
        <v>#REF!</v>
      </c>
      <c r="G44" s="42" t="e">
        <f t="shared" si="4"/>
        <v>#REF!</v>
      </c>
      <c r="H44" s="43"/>
      <c r="K44" s="31" t="str">
        <f>"""GP"",""Ute Indian Tribe Membership Fund"",""aaa_contract_detail_sp"",""JRNENTRY"",""1571266"",""aaGLHdrID"",""1739399"",""aaGLDistID"",""12"",""aaGLAssignID"",""1"",""contract"",""3460 92 URHS FY2025"""</f>
        <v>"GP","Ute Indian Tribe Membership Fund","aaa_contract_detail_sp","JRNENTRY","1571266","aaGLHdrID","1739399","aaGLDistID","12","aaGLAssignID","1","contract","3460 92 URHS FY2025"</v>
      </c>
      <c r="L44" s="44">
        <v>45603</v>
      </c>
      <c r="M44" s="31">
        <v>1571266</v>
      </c>
      <c r="N44" s="31" t="str">
        <f>""</f>
        <v/>
      </c>
      <c r="O44" s="31" t="str">
        <f>""</f>
        <v/>
      </c>
      <c r="P44" s="31" t="str">
        <f>""</f>
        <v/>
      </c>
      <c r="Q44" s="45" t="str">
        <f>""</f>
        <v/>
      </c>
      <c r="R44" s="46">
        <v>1455.36</v>
      </c>
      <c r="S44" s="46">
        <v>0</v>
      </c>
      <c r="T44" s="47">
        <f t="shared" si="3"/>
        <v>1455.36</v>
      </c>
    </row>
    <row r="45" spans="1:20" s="31" customFormat="1" x14ac:dyDescent="0.25">
      <c r="A45" s="25" t="s">
        <v>25</v>
      </c>
      <c r="B45" s="42"/>
      <c r="C45" s="42"/>
      <c r="D45" s="25"/>
      <c r="E45" s="25"/>
      <c r="F45" s="42" t="e">
        <f t="shared" si="4"/>
        <v>#REF!</v>
      </c>
      <c r="G45" s="42" t="e">
        <f t="shared" si="4"/>
        <v>#REF!</v>
      </c>
      <c r="H45" s="43"/>
      <c r="K45" s="31" t="str">
        <f>"""GP"",""Ute Indian Tribe Membership Fund"",""aaa_contract_detail_sp"",""JRNENTRY"",""1571266"",""aaGLHdrID"",""1739399"",""aaGLDistID"",""13"",""aaGLAssignID"",""1"",""contract"",""3460 92 URHS FY2025"""</f>
        <v>"GP","Ute Indian Tribe Membership Fund","aaa_contract_detail_sp","JRNENTRY","1571266","aaGLHdrID","1739399","aaGLDistID","13","aaGLAssignID","1","contract","3460 92 URHS FY2025"</v>
      </c>
      <c r="L45" s="44">
        <v>45603</v>
      </c>
      <c r="M45" s="31">
        <v>1571266</v>
      </c>
      <c r="N45" s="31" t="str">
        <f>""</f>
        <v/>
      </c>
      <c r="O45" s="31" t="str">
        <f>""</f>
        <v/>
      </c>
      <c r="P45" s="31" t="str">
        <f>""</f>
        <v/>
      </c>
      <c r="Q45" s="45" t="str">
        <f>""</f>
        <v/>
      </c>
      <c r="R45" s="46">
        <v>173.8</v>
      </c>
      <c r="S45" s="46">
        <v>0</v>
      </c>
      <c r="T45" s="47">
        <f t="shared" si="3"/>
        <v>173.8</v>
      </c>
    </row>
    <row r="46" spans="1:20" s="31" customFormat="1" x14ac:dyDescent="0.25">
      <c r="A46" s="25" t="s">
        <v>25</v>
      </c>
      <c r="B46" s="42"/>
      <c r="C46" s="42"/>
      <c r="D46" s="25"/>
      <c r="E46" s="25"/>
      <c r="F46" s="42" t="e">
        <f t="shared" si="4"/>
        <v>#REF!</v>
      </c>
      <c r="G46" s="42" t="e">
        <f t="shared" si="4"/>
        <v>#REF!</v>
      </c>
      <c r="H46" s="43"/>
      <c r="K46" s="31" t="str">
        <f>"""GP"",""Ute Indian Tribe Membership Fund"",""aaa_contract_detail_sp"",""JRNENTRY"",""1571270"",""aaGLHdrID"",""1739403"",""aaGLDistID"",""15"",""aaGLAssignID"",""1"",""contract"",""3460 92 URHS FY2025"""</f>
        <v>"GP","Ute Indian Tribe Membership Fund","aaa_contract_detail_sp","JRNENTRY","1571270","aaGLHdrID","1739403","aaGLDistID","15","aaGLAssignID","1","contract","3460 92 URHS FY2025"</v>
      </c>
      <c r="L46" s="44">
        <v>45603</v>
      </c>
      <c r="M46" s="31">
        <v>1571270</v>
      </c>
      <c r="N46" s="31" t="str">
        <f>""</f>
        <v/>
      </c>
      <c r="O46" s="31" t="str">
        <f>""</f>
        <v/>
      </c>
      <c r="P46" s="31" t="str">
        <f>""</f>
        <v/>
      </c>
      <c r="Q46" s="45" t="str">
        <f>""</f>
        <v/>
      </c>
      <c r="R46" s="46">
        <v>1177.92</v>
      </c>
      <c r="S46" s="46">
        <v>0</v>
      </c>
      <c r="T46" s="47">
        <f t="shared" si="3"/>
        <v>1177.92</v>
      </c>
    </row>
    <row r="47" spans="1:20" s="31" customFormat="1" x14ac:dyDescent="0.25">
      <c r="A47" s="25" t="s">
        <v>25</v>
      </c>
      <c r="B47" s="42"/>
      <c r="C47" s="42"/>
      <c r="D47" s="25"/>
      <c r="E47" s="25"/>
      <c r="F47" s="42" t="e">
        <f t="shared" si="4"/>
        <v>#REF!</v>
      </c>
      <c r="G47" s="42" t="e">
        <f t="shared" si="4"/>
        <v>#REF!</v>
      </c>
      <c r="H47" s="43"/>
      <c r="K47" s="31" t="str">
        <f>"""GP"",""Ute Indian Tribe Membership Fund"",""aaa_contract_detail_sp"",""JRNENTRY"",""1571270"",""aaGLHdrID"",""1739403"",""aaGLDistID"",""16"",""aaGLAssignID"",""1"",""contract"",""3460 92 URHS FY2025"""</f>
        <v>"GP","Ute Indian Tribe Membership Fund","aaa_contract_detail_sp","JRNENTRY","1571270","aaGLHdrID","1739403","aaGLDistID","16","aaGLAssignID","1","contract","3460 92 URHS FY2025"</v>
      </c>
      <c r="L47" s="44">
        <v>45603</v>
      </c>
      <c r="M47" s="31">
        <v>1571270</v>
      </c>
      <c r="N47" s="31" t="str">
        <f>""</f>
        <v/>
      </c>
      <c r="O47" s="31" t="str">
        <f>""</f>
        <v/>
      </c>
      <c r="P47" s="31" t="str">
        <f>""</f>
        <v/>
      </c>
      <c r="Q47" s="45" t="str">
        <f>""</f>
        <v/>
      </c>
      <c r="R47" s="46">
        <v>392.64</v>
      </c>
      <c r="S47" s="46">
        <v>0</v>
      </c>
      <c r="T47" s="47">
        <f t="shared" si="3"/>
        <v>392.64</v>
      </c>
    </row>
    <row r="48" spans="1:20" s="31" customFormat="1" x14ac:dyDescent="0.25">
      <c r="A48" s="25" t="s">
        <v>25</v>
      </c>
      <c r="B48" s="42"/>
      <c r="C48" s="42"/>
      <c r="D48" s="25"/>
      <c r="E48" s="25"/>
      <c r="F48" s="42" t="e">
        <f t="shared" si="4"/>
        <v>#REF!</v>
      </c>
      <c r="G48" s="42" t="e">
        <f t="shared" si="4"/>
        <v>#REF!</v>
      </c>
      <c r="H48" s="43"/>
      <c r="K48" s="31" t="str">
        <f>"""GP"",""Ute Indian Tribe Membership Fund"",""aaa_contract_detail_sp"",""JRNENTRY"",""1574460"",""aaGLHdrID"",""1742186"",""aaGLDistID"",""15"",""aaGLAssignID"",""1"",""contract"",""3460 92 URHS FY2025"""</f>
        <v>"GP","Ute Indian Tribe Membership Fund","aaa_contract_detail_sp","JRNENTRY","1574460","aaGLHdrID","1742186","aaGLDistID","15","aaGLAssignID","1","contract","3460 92 URHS FY2025"</v>
      </c>
      <c r="L48" s="44">
        <v>45617</v>
      </c>
      <c r="M48" s="31">
        <v>1574460</v>
      </c>
      <c r="N48" s="31" t="str">
        <f>""</f>
        <v/>
      </c>
      <c r="O48" s="31" t="str">
        <f>""</f>
        <v/>
      </c>
      <c r="P48" s="31" t="str">
        <f>""</f>
        <v/>
      </c>
      <c r="Q48" s="45" t="str">
        <f>""</f>
        <v/>
      </c>
      <c r="R48" s="46">
        <v>2295.6799999999998</v>
      </c>
      <c r="S48" s="46">
        <v>0</v>
      </c>
      <c r="T48" s="47">
        <f t="shared" si="3"/>
        <v>2295.6799999999998</v>
      </c>
    </row>
    <row r="49" spans="1:20" s="31" customFormat="1" x14ac:dyDescent="0.25">
      <c r="A49" s="25" t="s">
        <v>25</v>
      </c>
      <c r="B49" s="42"/>
      <c r="C49" s="42"/>
      <c r="D49" s="25"/>
      <c r="E49" s="25"/>
      <c r="F49" s="42" t="e">
        <f t="shared" si="4"/>
        <v>#REF!</v>
      </c>
      <c r="G49" s="42" t="e">
        <f t="shared" si="4"/>
        <v>#REF!</v>
      </c>
      <c r="H49" s="43"/>
      <c r="K49" s="31" t="str">
        <f>"""GP"",""Ute Indian Tribe Membership Fund"",""aaa_contract_detail_sp"",""JRNENTRY"",""1574530"",""aaGLHdrID"",""1742256"",""aaGLDistID"",""16"",""aaGLAssignID"",""1"",""contract"",""3460 92 URHS FY2025"""</f>
        <v>"GP","Ute Indian Tribe Membership Fund","aaa_contract_detail_sp","JRNENTRY","1574530","aaGLHdrID","1742256","aaGLDistID","16","aaGLAssignID","1","contract","3460 92 URHS FY2025"</v>
      </c>
      <c r="L49" s="44">
        <v>45617</v>
      </c>
      <c r="M49" s="31">
        <v>1574530</v>
      </c>
      <c r="N49" s="31" t="str">
        <f>""</f>
        <v/>
      </c>
      <c r="O49" s="31" t="str">
        <f>""</f>
        <v/>
      </c>
      <c r="P49" s="31" t="str">
        <f>""</f>
        <v/>
      </c>
      <c r="Q49" s="45" t="str">
        <f>""</f>
        <v/>
      </c>
      <c r="R49" s="46">
        <v>1086.58</v>
      </c>
      <c r="S49" s="46">
        <v>0</v>
      </c>
      <c r="T49" s="47">
        <f t="shared" si="3"/>
        <v>1086.58</v>
      </c>
    </row>
    <row r="50" spans="1:20" s="31" customFormat="1" x14ac:dyDescent="0.25">
      <c r="A50" s="25" t="s">
        <v>25</v>
      </c>
      <c r="B50" s="42"/>
      <c r="C50" s="42"/>
      <c r="D50" s="25"/>
      <c r="E50" s="25"/>
      <c r="F50" s="42" t="e">
        <f t="shared" si="4"/>
        <v>#REF!</v>
      </c>
      <c r="G50" s="42" t="e">
        <f t="shared" si="4"/>
        <v>#REF!</v>
      </c>
      <c r="H50" s="43"/>
      <c r="K50" s="31" t="str">
        <f>"""GP"",""Ute Indian Tribe Membership Fund"",""aaa_contract_detail_sp"",""JRNENTRY"",""1574530"",""aaGLHdrID"",""1742256"",""aaGLDistID"",""17"",""aaGLAssignID"",""1"",""contract"",""3460 92 URHS FY2025"""</f>
        <v>"GP","Ute Indian Tribe Membership Fund","aaa_contract_detail_sp","JRNENTRY","1574530","aaGLHdrID","1742256","aaGLDistID","17","aaGLAssignID","1","contract","3460 92 URHS FY2025"</v>
      </c>
      <c r="L50" s="44">
        <v>45617</v>
      </c>
      <c r="M50" s="31">
        <v>1574530</v>
      </c>
      <c r="N50" s="31" t="str">
        <f>""</f>
        <v/>
      </c>
      <c r="O50" s="31" t="str">
        <f>""</f>
        <v/>
      </c>
      <c r="P50" s="31" t="str">
        <f>""</f>
        <v/>
      </c>
      <c r="Q50" s="45" t="str">
        <f>""</f>
        <v/>
      </c>
      <c r="R50" s="46">
        <v>2851.84</v>
      </c>
      <c r="S50" s="46">
        <v>0</v>
      </c>
      <c r="T50" s="47">
        <f t="shared" si="3"/>
        <v>2851.84</v>
      </c>
    </row>
    <row r="51" spans="1:20" s="31" customFormat="1" x14ac:dyDescent="0.25">
      <c r="A51" s="25" t="s">
        <v>25</v>
      </c>
      <c r="B51" s="42"/>
      <c r="C51" s="42"/>
      <c r="D51" s="25"/>
      <c r="E51" s="25"/>
      <c r="F51" s="42" t="e">
        <f t="shared" si="4"/>
        <v>#REF!</v>
      </c>
      <c r="G51" s="42" t="e">
        <f t="shared" si="4"/>
        <v>#REF!</v>
      </c>
      <c r="H51" s="43"/>
      <c r="K51" s="31" t="str">
        <f>"""GP"",""Ute Indian Tribe Membership Fund"",""aaa_contract_detail_sp"",""JRNENTRY"",""1574623"",""aaGLHdrID"",""1742349"",""aaGLDistID"",""15"",""aaGLAssignID"",""1"",""contract"",""3460 92 URHS FY2025"""</f>
        <v>"GP","Ute Indian Tribe Membership Fund","aaa_contract_detail_sp","JRNENTRY","1574623","aaGLHdrID","1742349","aaGLDistID","15","aaGLAssignID","1","contract","3460 92 URHS FY2025"</v>
      </c>
      <c r="L51" s="44">
        <v>45617</v>
      </c>
      <c r="M51" s="31">
        <v>1574623</v>
      </c>
      <c r="N51" s="31" t="str">
        <f>""</f>
        <v/>
      </c>
      <c r="O51" s="31" t="str">
        <f>""</f>
        <v/>
      </c>
      <c r="P51" s="31" t="str">
        <f>""</f>
        <v/>
      </c>
      <c r="Q51" s="45" t="str">
        <f>""</f>
        <v/>
      </c>
      <c r="R51" s="46">
        <v>2610.9</v>
      </c>
      <c r="S51" s="46">
        <v>0</v>
      </c>
      <c r="T51" s="47">
        <f t="shared" si="3"/>
        <v>2610.9</v>
      </c>
    </row>
    <row r="52" spans="1:20" s="31" customFormat="1" x14ac:dyDescent="0.25">
      <c r="A52" s="25" t="s">
        <v>25</v>
      </c>
      <c r="B52" s="42"/>
      <c r="C52" s="42"/>
      <c r="D52" s="25"/>
      <c r="E52" s="25"/>
      <c r="F52" s="42" t="e">
        <f t="shared" si="4"/>
        <v>#REF!</v>
      </c>
      <c r="G52" s="42" t="e">
        <f t="shared" si="4"/>
        <v>#REF!</v>
      </c>
      <c r="H52" s="43"/>
      <c r="K52" s="31" t="str">
        <f>"""GP"",""Ute Indian Tribe Membership Fund"",""aaa_contract_detail_sp"",""JRNENTRY"",""1574623"",""aaGLHdrID"",""1742349"",""aaGLDistID"",""16"",""aaGLAssignID"",""1"",""contract"",""3460 92 URHS FY2025"""</f>
        <v>"GP","Ute Indian Tribe Membership Fund","aaa_contract_detail_sp","JRNENTRY","1574623","aaGLHdrID","1742349","aaGLDistID","16","aaGLAssignID","1","contract","3460 92 URHS FY2025"</v>
      </c>
      <c r="L52" s="44">
        <v>45617</v>
      </c>
      <c r="M52" s="31">
        <v>1574623</v>
      </c>
      <c r="N52" s="31" t="str">
        <f>""</f>
        <v/>
      </c>
      <c r="O52" s="31" t="str">
        <f>""</f>
        <v/>
      </c>
      <c r="P52" s="31" t="str">
        <f>""</f>
        <v/>
      </c>
      <c r="Q52" s="45" t="str">
        <f>""</f>
        <v/>
      </c>
      <c r="R52" s="46">
        <v>48.35</v>
      </c>
      <c r="S52" s="46">
        <v>0</v>
      </c>
      <c r="T52" s="47">
        <f t="shared" si="3"/>
        <v>48.35</v>
      </c>
    </row>
    <row r="53" spans="1:20" s="31" customFormat="1" x14ac:dyDescent="0.25">
      <c r="A53" s="25" t="s">
        <v>25</v>
      </c>
      <c r="B53" s="42"/>
      <c r="C53" s="42"/>
      <c r="D53" s="25"/>
      <c r="E53" s="25"/>
      <c r="F53" s="42" t="e">
        <f t="shared" si="4"/>
        <v>#REF!</v>
      </c>
      <c r="G53" s="42" t="e">
        <f t="shared" si="4"/>
        <v>#REF!</v>
      </c>
      <c r="H53" s="43"/>
      <c r="K53" s="31" t="str">
        <f>"""GP"",""Ute Indian Tribe Membership Fund"",""aaa_contract_detail_sp"",""JRNENTRY"",""1574628"",""aaGLHdrID"",""1742354"",""aaGLDistID"",""16"",""aaGLAssignID"",""1"",""contract"",""3460 92 URHS FY2025"""</f>
        <v>"GP","Ute Indian Tribe Membership Fund","aaa_contract_detail_sp","JRNENTRY","1574628","aaGLHdrID","1742354","aaGLDistID","16","aaGLAssignID","1","contract","3460 92 URHS FY2025"</v>
      </c>
      <c r="L53" s="44">
        <v>45617</v>
      </c>
      <c r="M53" s="31">
        <v>1574628</v>
      </c>
      <c r="N53" s="31" t="str">
        <f>""</f>
        <v/>
      </c>
      <c r="O53" s="31" t="str">
        <f>""</f>
        <v/>
      </c>
      <c r="P53" s="31" t="str">
        <f>""</f>
        <v/>
      </c>
      <c r="Q53" s="45" t="str">
        <f>""</f>
        <v/>
      </c>
      <c r="R53" s="46">
        <v>2679.18</v>
      </c>
      <c r="S53" s="46">
        <v>0</v>
      </c>
      <c r="T53" s="47">
        <f t="shared" si="3"/>
        <v>2679.18</v>
      </c>
    </row>
    <row r="54" spans="1:20" s="31" customFormat="1" x14ac:dyDescent="0.25">
      <c r="A54" s="25" t="s">
        <v>25</v>
      </c>
      <c r="B54" s="42"/>
      <c r="C54" s="42"/>
      <c r="D54" s="25"/>
      <c r="E54" s="25"/>
      <c r="F54" s="42" t="e">
        <f t="shared" si="4"/>
        <v>#REF!</v>
      </c>
      <c r="G54" s="42" t="e">
        <f t="shared" si="4"/>
        <v>#REF!</v>
      </c>
      <c r="H54" s="43"/>
      <c r="K54" s="31" t="str">
        <f>"""GP"",""Ute Indian Tribe Membership Fund"",""aaa_contract_detail_sp"",""JRNENTRY"",""1574628"",""aaGLHdrID"",""1742354"",""aaGLDistID"",""17"",""aaGLAssignID"",""1"",""contract"",""3460 92 URHS FY2025"""</f>
        <v>"GP","Ute Indian Tribe Membership Fund","aaa_contract_detail_sp","JRNENTRY","1574628","aaGLHdrID","1742354","aaGLDistID","17","aaGLAssignID","1","contract","3460 92 URHS FY2025"</v>
      </c>
      <c r="L54" s="44">
        <v>45617</v>
      </c>
      <c r="M54" s="31">
        <v>1574628</v>
      </c>
      <c r="N54" s="31" t="str">
        <f>""</f>
        <v/>
      </c>
      <c r="O54" s="31" t="str">
        <f>""</f>
        <v/>
      </c>
      <c r="P54" s="31" t="str">
        <f>""</f>
        <v/>
      </c>
      <c r="Q54" s="45" t="str">
        <f>""</f>
        <v/>
      </c>
      <c r="R54" s="46">
        <v>3806.72</v>
      </c>
      <c r="S54" s="46">
        <v>0</v>
      </c>
      <c r="T54" s="47">
        <f t="shared" si="3"/>
        <v>3806.72</v>
      </c>
    </row>
    <row r="55" spans="1:20" s="31" customFormat="1" x14ac:dyDescent="0.25">
      <c r="A55" s="25" t="s">
        <v>25</v>
      </c>
      <c r="B55" s="42"/>
      <c r="C55" s="42"/>
      <c r="D55" s="25"/>
      <c r="E55" s="25"/>
      <c r="F55" s="42" t="e">
        <f t="shared" si="4"/>
        <v>#REF!</v>
      </c>
      <c r="G55" s="42" t="e">
        <f t="shared" si="4"/>
        <v>#REF!</v>
      </c>
      <c r="H55" s="43"/>
      <c r="K55" s="31" t="str">
        <f>"""GP"",""Ute Indian Tribe Membership Fund"",""aaa_contract_detail_sp"",""JRNENTRY"",""1574669"",""aaGLHdrID"",""1742395"",""aaGLDistID"",""14"",""aaGLAssignID"",""1"",""contract"",""3460 92 URHS FY2025"""</f>
        <v>"GP","Ute Indian Tribe Membership Fund","aaa_contract_detail_sp","JRNENTRY","1574669","aaGLHdrID","1742395","aaGLDistID","14","aaGLAssignID","1","contract","3460 92 URHS FY2025"</v>
      </c>
      <c r="L55" s="44">
        <v>45617</v>
      </c>
      <c r="M55" s="31">
        <v>1574669</v>
      </c>
      <c r="N55" s="31" t="str">
        <f>""</f>
        <v/>
      </c>
      <c r="O55" s="31" t="str">
        <f>""</f>
        <v/>
      </c>
      <c r="P55" s="31" t="str">
        <f>""</f>
        <v/>
      </c>
      <c r="Q55" s="45" t="str">
        <f>""</f>
        <v/>
      </c>
      <c r="R55" s="46">
        <v>2648.96</v>
      </c>
      <c r="S55" s="46">
        <v>0</v>
      </c>
      <c r="T55" s="47">
        <f t="shared" si="3"/>
        <v>2648.96</v>
      </c>
    </row>
    <row r="56" spans="1:20" s="31" customFormat="1" x14ac:dyDescent="0.25">
      <c r="A56" s="25" t="s">
        <v>25</v>
      </c>
      <c r="B56" s="42"/>
      <c r="C56" s="42"/>
      <c r="D56" s="25"/>
      <c r="E56" s="25"/>
      <c r="F56" s="42" t="e">
        <f t="shared" si="4"/>
        <v>#REF!</v>
      </c>
      <c r="G56" s="42" t="e">
        <f t="shared" si="4"/>
        <v>#REF!</v>
      </c>
      <c r="H56" s="43"/>
      <c r="K56" s="31" t="str">
        <f>"""GP"",""Ute Indian Tribe Membership Fund"",""aaa_contract_detail_sp"",""JRNENTRY"",""1574670"",""aaGLHdrID"",""1742396"",""aaGLDistID"",""13"",""aaGLAssignID"",""1"",""contract"",""3460 92 URHS FY2025"""</f>
        <v>"GP","Ute Indian Tribe Membership Fund","aaa_contract_detail_sp","JRNENTRY","1574670","aaGLHdrID","1742396","aaGLDistID","13","aaGLAssignID","1","contract","3460 92 URHS FY2025"</v>
      </c>
      <c r="L56" s="44">
        <v>45617</v>
      </c>
      <c r="M56" s="31">
        <v>1574670</v>
      </c>
      <c r="N56" s="31" t="str">
        <f>""</f>
        <v/>
      </c>
      <c r="O56" s="31" t="str">
        <f>""</f>
        <v/>
      </c>
      <c r="P56" s="31" t="str">
        <f>""</f>
        <v/>
      </c>
      <c r="Q56" s="45" t="str">
        <f>""</f>
        <v/>
      </c>
      <c r="R56" s="46">
        <v>1967.88</v>
      </c>
      <c r="S56" s="46">
        <v>0</v>
      </c>
      <c r="T56" s="47">
        <f t="shared" si="3"/>
        <v>1967.88</v>
      </c>
    </row>
    <row r="57" spans="1:20" s="31" customFormat="1" x14ac:dyDescent="0.25">
      <c r="A57" s="25" t="s">
        <v>25</v>
      </c>
      <c r="B57" s="42"/>
      <c r="C57" s="42"/>
      <c r="D57" s="25"/>
      <c r="E57" s="25"/>
      <c r="F57" s="42" t="e">
        <f t="shared" si="4"/>
        <v>#REF!</v>
      </c>
      <c r="G57" s="42" t="e">
        <f t="shared" si="4"/>
        <v>#REF!</v>
      </c>
      <c r="H57" s="43"/>
      <c r="K57" s="31" t="str">
        <f>"""GP"",""Ute Indian Tribe Membership Fund"",""aaa_contract_detail_sp"",""JRNENTRY"",""1574670"",""aaGLHdrID"",""1742396"",""aaGLDistID"",""14"",""aaGLAssignID"",""1"",""contract"",""3460 92 URHS FY2025"""</f>
        <v>"GP","Ute Indian Tribe Membership Fund","aaa_contract_detail_sp","JRNENTRY","1574670","aaGLHdrID","1742396","aaGLDistID","14","aaGLAssignID","1","contract","3460 92 URHS FY2025"</v>
      </c>
      <c r="L57" s="44">
        <v>45617</v>
      </c>
      <c r="M57" s="31">
        <v>1574670</v>
      </c>
      <c r="N57" s="31" t="str">
        <f>""</f>
        <v/>
      </c>
      <c r="O57" s="31" t="str">
        <f>""</f>
        <v/>
      </c>
      <c r="P57" s="31" t="str">
        <f>""</f>
        <v/>
      </c>
      <c r="Q57" s="45" t="str">
        <f>""</f>
        <v/>
      </c>
      <c r="R57" s="46">
        <v>770.04</v>
      </c>
      <c r="S57" s="46">
        <v>0</v>
      </c>
      <c r="T57" s="47">
        <f t="shared" si="3"/>
        <v>770.04</v>
      </c>
    </row>
    <row r="58" spans="1:20" s="31" customFormat="1" x14ac:dyDescent="0.25">
      <c r="A58" s="25" t="s">
        <v>25</v>
      </c>
      <c r="B58" s="42"/>
      <c r="C58" s="42"/>
      <c r="D58" s="25"/>
      <c r="E58" s="25"/>
      <c r="F58" s="42" t="e">
        <f t="shared" ref="F58:G89" si="5">F57</f>
        <v>#REF!</v>
      </c>
      <c r="G58" s="42" t="e">
        <f t="shared" si="5"/>
        <v>#REF!</v>
      </c>
      <c r="H58" s="43"/>
      <c r="K58" s="31" t="str">
        <f>"""GP"",""Ute Indian Tribe Membership Fund"",""aaa_contract_detail_sp"",""JRNENTRY"",""1574764"",""aaGLHdrID"",""1742490"",""aaGLDistID"",""13"",""aaGLAssignID"",""1"",""contract"",""3460 92 URHS FY2025"""</f>
        <v>"GP","Ute Indian Tribe Membership Fund","aaa_contract_detail_sp","JRNENTRY","1574764","aaGLHdrID","1742490","aaGLDistID","13","aaGLAssignID","1","contract","3460 92 URHS FY2025"</v>
      </c>
      <c r="L58" s="44">
        <v>45617</v>
      </c>
      <c r="M58" s="31">
        <v>1574764</v>
      </c>
      <c r="N58" s="31" t="str">
        <f>""</f>
        <v/>
      </c>
      <c r="O58" s="31" t="str">
        <f>""</f>
        <v/>
      </c>
      <c r="P58" s="31" t="str">
        <f>""</f>
        <v/>
      </c>
      <c r="Q58" s="45" t="str">
        <f>""</f>
        <v/>
      </c>
      <c r="R58" s="46">
        <v>2508.8000000000002</v>
      </c>
      <c r="S58" s="46">
        <v>0</v>
      </c>
      <c r="T58" s="47">
        <f t="shared" ref="T58:T121" si="6">SUM(R58:S58)</f>
        <v>2508.8000000000002</v>
      </c>
    </row>
    <row r="59" spans="1:20" s="31" customFormat="1" x14ac:dyDescent="0.25">
      <c r="A59" s="25" t="s">
        <v>25</v>
      </c>
      <c r="B59" s="42"/>
      <c r="C59" s="42"/>
      <c r="D59" s="25"/>
      <c r="E59" s="25"/>
      <c r="F59" s="42" t="e">
        <f t="shared" si="5"/>
        <v>#REF!</v>
      </c>
      <c r="G59" s="42" t="e">
        <f t="shared" si="5"/>
        <v>#REF!</v>
      </c>
      <c r="H59" s="43"/>
      <c r="K59" s="31" t="str">
        <f>"""GP"",""Ute Indian Tribe Membership Fund"",""aaa_contract_detail_sp"",""JRNENTRY"",""1574845"",""aaGLHdrID"",""1742571"",""aaGLDistID"",""12"",""aaGLAssignID"",""1"",""contract"",""3460 92 URHS FY2025"""</f>
        <v>"GP","Ute Indian Tribe Membership Fund","aaa_contract_detail_sp","JRNENTRY","1574845","aaGLHdrID","1742571","aaGLDistID","12","aaGLAssignID","1","contract","3460 92 URHS FY2025"</v>
      </c>
      <c r="L59" s="44">
        <v>45617</v>
      </c>
      <c r="M59" s="31">
        <v>1574845</v>
      </c>
      <c r="N59" s="31" t="str">
        <f>""</f>
        <v/>
      </c>
      <c r="O59" s="31" t="str">
        <f>""</f>
        <v/>
      </c>
      <c r="P59" s="31" t="str">
        <f>""</f>
        <v/>
      </c>
      <c r="Q59" s="45" t="str">
        <f>""</f>
        <v/>
      </c>
      <c r="R59" s="46">
        <v>1455.36</v>
      </c>
      <c r="S59" s="46">
        <v>0</v>
      </c>
      <c r="T59" s="47">
        <f t="shared" si="6"/>
        <v>1455.36</v>
      </c>
    </row>
    <row r="60" spans="1:20" s="31" customFormat="1" x14ac:dyDescent="0.25">
      <c r="A60" s="25" t="s">
        <v>25</v>
      </c>
      <c r="B60" s="42"/>
      <c r="C60" s="42"/>
      <c r="D60" s="25"/>
      <c r="E60" s="25"/>
      <c r="F60" s="42" t="e">
        <f t="shared" si="5"/>
        <v>#REF!</v>
      </c>
      <c r="G60" s="42" t="e">
        <f t="shared" si="5"/>
        <v>#REF!</v>
      </c>
      <c r="H60" s="43"/>
      <c r="K60" s="31" t="str">
        <f>"""GP"",""Ute Indian Tribe Membership Fund"",""aaa_contract_detail_sp"",""JRNENTRY"",""1574849"",""aaGLHdrID"",""1742575"",""aaGLDistID"",""15"",""aaGLAssignID"",""1"",""contract"",""3460 92 URHS FY2025"""</f>
        <v>"GP","Ute Indian Tribe Membership Fund","aaa_contract_detail_sp","JRNENTRY","1574849","aaGLHdrID","1742575","aaGLDistID","15","aaGLAssignID","1","contract","3460 92 URHS FY2025"</v>
      </c>
      <c r="L60" s="44">
        <v>45617</v>
      </c>
      <c r="M60" s="31">
        <v>1574849</v>
      </c>
      <c r="N60" s="31" t="str">
        <f>""</f>
        <v/>
      </c>
      <c r="O60" s="31" t="str">
        <f>""</f>
        <v/>
      </c>
      <c r="P60" s="31" t="str">
        <f>""</f>
        <v/>
      </c>
      <c r="Q60" s="45" t="str">
        <f>""</f>
        <v/>
      </c>
      <c r="R60" s="46">
        <v>1177.92</v>
      </c>
      <c r="S60" s="46">
        <v>0</v>
      </c>
      <c r="T60" s="47">
        <f t="shared" si="6"/>
        <v>1177.92</v>
      </c>
    </row>
    <row r="61" spans="1:20" s="31" customFormat="1" x14ac:dyDescent="0.25">
      <c r="A61" s="25" t="s">
        <v>25</v>
      </c>
      <c r="B61" s="42"/>
      <c r="C61" s="42"/>
      <c r="D61" s="25"/>
      <c r="E61" s="25"/>
      <c r="F61" s="42" t="e">
        <f t="shared" si="5"/>
        <v>#REF!</v>
      </c>
      <c r="G61" s="42" t="e">
        <f t="shared" si="5"/>
        <v>#REF!</v>
      </c>
      <c r="H61" s="43"/>
      <c r="K61" s="31" t="str">
        <f>"""GP"",""Ute Indian Tribe Membership Fund"",""aaa_contract_detail_sp"",""JRNENTRY"",""1574849"",""aaGLHdrID"",""1742575"",""aaGLDistID"",""16"",""aaGLAssignID"",""1"",""contract"",""3460 92 URHS FY2025"""</f>
        <v>"GP","Ute Indian Tribe Membership Fund","aaa_contract_detail_sp","JRNENTRY","1574849","aaGLHdrID","1742575","aaGLDistID","16","aaGLAssignID","1","contract","3460 92 URHS FY2025"</v>
      </c>
      <c r="L61" s="44">
        <v>45617</v>
      </c>
      <c r="M61" s="31">
        <v>1574849</v>
      </c>
      <c r="N61" s="31" t="str">
        <f>""</f>
        <v/>
      </c>
      <c r="O61" s="31" t="str">
        <f>""</f>
        <v/>
      </c>
      <c r="P61" s="31" t="str">
        <f>""</f>
        <v/>
      </c>
      <c r="Q61" s="45" t="str">
        <f>""</f>
        <v/>
      </c>
      <c r="R61" s="46">
        <v>392.64</v>
      </c>
      <c r="S61" s="46">
        <v>0</v>
      </c>
      <c r="T61" s="47">
        <f t="shared" si="6"/>
        <v>392.64</v>
      </c>
    </row>
    <row r="62" spans="1:20" s="31" customFormat="1" x14ac:dyDescent="0.25">
      <c r="A62" s="25" t="s">
        <v>25</v>
      </c>
      <c r="B62" s="42"/>
      <c r="C62" s="42"/>
      <c r="D62" s="25"/>
      <c r="E62" s="25"/>
      <c r="F62" s="42" t="e">
        <f t="shared" si="5"/>
        <v>#REF!</v>
      </c>
      <c r="G62" s="42" t="e">
        <f t="shared" si="5"/>
        <v>#REF!</v>
      </c>
      <c r="H62" s="43"/>
      <c r="K62" s="31" t="str">
        <f>"""GP"",""Ute Indian Tribe Membership Fund"",""aaa_contract_detail_sp"",""JRNENTRY"",""1576410"",""aaGLHdrID"",""1744370"",""aaGLDistID"",""15"",""aaGLAssignID"",""1"",""contract"",""3460 92 URHS FY2025"""</f>
        <v>"GP","Ute Indian Tribe Membership Fund","aaa_contract_detail_sp","JRNENTRY","1576410","aaGLHdrID","1744370","aaGLDistID","15","aaGLAssignID","1","contract","3460 92 URHS FY2025"</v>
      </c>
      <c r="L62" s="44">
        <v>45631</v>
      </c>
      <c r="M62" s="31">
        <v>1576410</v>
      </c>
      <c r="N62" s="31" t="str">
        <f>""</f>
        <v/>
      </c>
      <c r="O62" s="31" t="str">
        <f>""</f>
        <v/>
      </c>
      <c r="P62" s="31" t="str">
        <f>""</f>
        <v/>
      </c>
      <c r="Q62" s="45" t="str">
        <f>""</f>
        <v/>
      </c>
      <c r="R62" s="46">
        <v>2295.6799999999998</v>
      </c>
      <c r="S62" s="46">
        <v>0</v>
      </c>
      <c r="T62" s="47">
        <f t="shared" si="6"/>
        <v>2295.6799999999998</v>
      </c>
    </row>
    <row r="63" spans="1:20" s="31" customFormat="1" x14ac:dyDescent="0.25">
      <c r="A63" s="25" t="s">
        <v>25</v>
      </c>
      <c r="B63" s="42"/>
      <c r="C63" s="42"/>
      <c r="D63" s="25"/>
      <c r="E63" s="25"/>
      <c r="F63" s="42" t="e">
        <f t="shared" si="5"/>
        <v>#REF!</v>
      </c>
      <c r="G63" s="42" t="e">
        <f t="shared" si="5"/>
        <v>#REF!</v>
      </c>
      <c r="H63" s="43"/>
      <c r="K63" s="31" t="str">
        <f>"""GP"",""Ute Indian Tribe Membership Fund"",""aaa_contract_detail_sp"",""JRNENTRY"",""1576410"",""aaGLHdrID"",""1744370"",""aaGLDistID"",""16"",""aaGLAssignID"",""1"",""contract"",""3460 92 URHS FY2025"""</f>
        <v>"GP","Ute Indian Tribe Membership Fund","aaa_contract_detail_sp","JRNENTRY","1576410","aaGLHdrID","1744370","aaGLDistID","16","aaGLAssignID","1","contract","3460 92 URHS FY2025"</v>
      </c>
      <c r="L63" s="44">
        <v>45631</v>
      </c>
      <c r="M63" s="31">
        <v>1576410</v>
      </c>
      <c r="N63" s="31" t="str">
        <f>""</f>
        <v/>
      </c>
      <c r="O63" s="31" t="str">
        <f>""</f>
        <v/>
      </c>
      <c r="P63" s="31" t="str">
        <f>""</f>
        <v/>
      </c>
      <c r="Q63" s="45" t="str">
        <f>""</f>
        <v/>
      </c>
      <c r="R63" s="46">
        <v>1000</v>
      </c>
      <c r="S63" s="46">
        <v>0</v>
      </c>
      <c r="T63" s="47">
        <f t="shared" si="6"/>
        <v>1000</v>
      </c>
    </row>
    <row r="64" spans="1:20" s="31" customFormat="1" x14ac:dyDescent="0.25">
      <c r="A64" s="25" t="s">
        <v>25</v>
      </c>
      <c r="B64" s="42"/>
      <c r="C64" s="42"/>
      <c r="D64" s="25"/>
      <c r="E64" s="25"/>
      <c r="F64" s="42" t="e">
        <f t="shared" si="5"/>
        <v>#REF!</v>
      </c>
      <c r="G64" s="42" t="e">
        <f t="shared" si="5"/>
        <v>#REF!</v>
      </c>
      <c r="H64" s="43"/>
      <c r="K64" s="31" t="str">
        <f>"""GP"",""Ute Indian Tribe Membership Fund"",""aaa_contract_detail_sp"",""JRNENTRY"",""1576479"",""aaGLHdrID"",""1744439"",""aaGLDistID"",""16"",""aaGLAssignID"",""1"",""contract"",""3460 92 URHS FY2025"""</f>
        <v>"GP","Ute Indian Tribe Membership Fund","aaa_contract_detail_sp","JRNENTRY","1576479","aaGLHdrID","1744439","aaGLDistID","16","aaGLAssignID","1","contract","3460 92 URHS FY2025"</v>
      </c>
      <c r="L64" s="44">
        <v>45631</v>
      </c>
      <c r="M64" s="31">
        <v>1576479</v>
      </c>
      <c r="N64" s="31" t="str">
        <f>""</f>
        <v/>
      </c>
      <c r="O64" s="31" t="str">
        <f>""</f>
        <v/>
      </c>
      <c r="P64" s="31" t="str">
        <f>""</f>
        <v/>
      </c>
      <c r="Q64" s="45" t="str">
        <f>""</f>
        <v/>
      </c>
      <c r="R64" s="46">
        <v>2851.84</v>
      </c>
      <c r="S64" s="46">
        <v>0</v>
      </c>
      <c r="T64" s="47">
        <f t="shared" si="6"/>
        <v>2851.84</v>
      </c>
    </row>
    <row r="65" spans="1:20" s="31" customFormat="1" x14ac:dyDescent="0.25">
      <c r="A65" s="25" t="s">
        <v>25</v>
      </c>
      <c r="B65" s="42"/>
      <c r="C65" s="42"/>
      <c r="D65" s="25"/>
      <c r="E65" s="25"/>
      <c r="F65" s="42" t="e">
        <f t="shared" si="5"/>
        <v>#REF!</v>
      </c>
      <c r="G65" s="42" t="e">
        <f t="shared" si="5"/>
        <v>#REF!</v>
      </c>
      <c r="H65" s="43"/>
      <c r="K65" s="31" t="str">
        <f>"""GP"",""Ute Indian Tribe Membership Fund"",""aaa_contract_detail_sp"",""JRNENTRY"",""1576479"",""aaGLHdrID"",""1744439"",""aaGLDistID"",""17"",""aaGLAssignID"",""1"",""contract"",""3460 92 URHS FY2025"""</f>
        <v>"GP","Ute Indian Tribe Membership Fund","aaa_contract_detail_sp","JRNENTRY","1576479","aaGLHdrID","1744439","aaGLDistID","17","aaGLAssignID","1","contract","3460 92 URHS FY2025"</v>
      </c>
      <c r="L65" s="44">
        <v>45631</v>
      </c>
      <c r="M65" s="31">
        <v>1576479</v>
      </c>
      <c r="N65" s="31" t="str">
        <f>""</f>
        <v/>
      </c>
      <c r="O65" s="31" t="str">
        <f>""</f>
        <v/>
      </c>
      <c r="P65" s="31" t="str">
        <f>""</f>
        <v/>
      </c>
      <c r="Q65" s="45" t="str">
        <f>""</f>
        <v/>
      </c>
      <c r="R65" s="46">
        <v>1000</v>
      </c>
      <c r="S65" s="46">
        <v>0</v>
      </c>
      <c r="T65" s="47">
        <f t="shared" si="6"/>
        <v>1000</v>
      </c>
    </row>
    <row r="66" spans="1:20" s="31" customFormat="1" x14ac:dyDescent="0.25">
      <c r="A66" s="25" t="s">
        <v>25</v>
      </c>
      <c r="B66" s="42"/>
      <c r="C66" s="42"/>
      <c r="D66" s="25"/>
      <c r="E66" s="25"/>
      <c r="F66" s="42" t="e">
        <f t="shared" si="5"/>
        <v>#REF!</v>
      </c>
      <c r="G66" s="42" t="e">
        <f t="shared" si="5"/>
        <v>#REF!</v>
      </c>
      <c r="H66" s="43"/>
      <c r="K66" s="31" t="str">
        <f>"""GP"",""Ute Indian Tribe Membership Fund"",""aaa_contract_detail_sp"",""JRNENTRY"",""1576479"",""aaGLHdrID"",""1744439"",""aaGLDistID"",""18"",""aaGLAssignID"",""1"",""contract"",""3460 92 URHS FY2025"""</f>
        <v>"GP","Ute Indian Tribe Membership Fund","aaa_contract_detail_sp","JRNENTRY","1576479","aaGLHdrID","1744439","aaGLDistID","18","aaGLAssignID","1","contract","3460 92 URHS FY2025"</v>
      </c>
      <c r="L66" s="44">
        <v>45631</v>
      </c>
      <c r="M66" s="31">
        <v>1576479</v>
      </c>
      <c r="N66" s="31" t="str">
        <f>""</f>
        <v/>
      </c>
      <c r="O66" s="31" t="str">
        <f>""</f>
        <v/>
      </c>
      <c r="P66" s="31" t="str">
        <f>""</f>
        <v/>
      </c>
      <c r="Q66" s="45" t="str">
        <f>""</f>
        <v/>
      </c>
      <c r="R66" s="46">
        <v>140</v>
      </c>
      <c r="S66" s="46">
        <v>0</v>
      </c>
      <c r="T66" s="47">
        <f t="shared" si="6"/>
        <v>140</v>
      </c>
    </row>
    <row r="67" spans="1:20" s="31" customFormat="1" x14ac:dyDescent="0.25">
      <c r="A67" s="25" t="s">
        <v>25</v>
      </c>
      <c r="B67" s="42"/>
      <c r="C67" s="42"/>
      <c r="D67" s="25"/>
      <c r="E67" s="25"/>
      <c r="F67" s="42" t="e">
        <f t="shared" si="5"/>
        <v>#REF!</v>
      </c>
      <c r="G67" s="42" t="e">
        <f t="shared" si="5"/>
        <v>#REF!</v>
      </c>
      <c r="H67" s="43"/>
      <c r="K67" s="31" t="str">
        <f>"""GP"",""Ute Indian Tribe Membership Fund"",""aaa_contract_detail_sp"",""JRNENTRY"",""1576572"",""aaGLHdrID"",""1744532"",""aaGLDistID"",""15"",""aaGLAssignID"",""1"",""contract"",""3460 92 URHS FY2025"""</f>
        <v>"GP","Ute Indian Tribe Membership Fund","aaa_contract_detail_sp","JRNENTRY","1576572","aaGLHdrID","1744532","aaGLDistID","15","aaGLAssignID","1","contract","3460 92 URHS FY2025"</v>
      </c>
      <c r="L67" s="44">
        <v>45631</v>
      </c>
      <c r="M67" s="31">
        <v>1576572</v>
      </c>
      <c r="N67" s="31" t="str">
        <f>""</f>
        <v/>
      </c>
      <c r="O67" s="31" t="str">
        <f>""</f>
        <v/>
      </c>
      <c r="P67" s="31" t="str">
        <f>""</f>
        <v/>
      </c>
      <c r="Q67" s="45" t="str">
        <f>""</f>
        <v/>
      </c>
      <c r="R67" s="46">
        <v>2707.6</v>
      </c>
      <c r="S67" s="46">
        <v>0</v>
      </c>
      <c r="T67" s="47">
        <f t="shared" si="6"/>
        <v>2707.6</v>
      </c>
    </row>
    <row r="68" spans="1:20" s="31" customFormat="1" x14ac:dyDescent="0.25">
      <c r="A68" s="25" t="s">
        <v>25</v>
      </c>
      <c r="B68" s="42"/>
      <c r="C68" s="42"/>
      <c r="D68" s="25"/>
      <c r="E68" s="25"/>
      <c r="F68" s="42" t="e">
        <f t="shared" si="5"/>
        <v>#REF!</v>
      </c>
      <c r="G68" s="42" t="e">
        <f t="shared" si="5"/>
        <v>#REF!</v>
      </c>
      <c r="H68" s="43"/>
      <c r="K68" s="31" t="str">
        <f>"""GP"",""Ute Indian Tribe Membership Fund"",""aaa_contract_detail_sp"",""JRNENTRY"",""1576572"",""aaGLHdrID"",""1744532"",""aaGLDistID"",""16"",""aaGLAssignID"",""1"",""contract"",""3460 92 URHS FY2025"""</f>
        <v>"GP","Ute Indian Tribe Membership Fund","aaa_contract_detail_sp","JRNENTRY","1576572","aaGLHdrID","1744532","aaGLDistID","16","aaGLAssignID","1","contract","3460 92 URHS FY2025"</v>
      </c>
      <c r="L68" s="44">
        <v>45631</v>
      </c>
      <c r="M68" s="31">
        <v>1576572</v>
      </c>
      <c r="N68" s="31" t="str">
        <f>""</f>
        <v/>
      </c>
      <c r="O68" s="31" t="str">
        <f>""</f>
        <v/>
      </c>
      <c r="P68" s="31" t="str">
        <f>""</f>
        <v/>
      </c>
      <c r="Q68" s="45" t="str">
        <f>""</f>
        <v/>
      </c>
      <c r="R68" s="46">
        <v>386.8</v>
      </c>
      <c r="S68" s="46">
        <v>0</v>
      </c>
      <c r="T68" s="47">
        <f t="shared" si="6"/>
        <v>386.8</v>
      </c>
    </row>
    <row r="69" spans="1:20" s="31" customFormat="1" x14ac:dyDescent="0.25">
      <c r="A69" s="25" t="s">
        <v>25</v>
      </c>
      <c r="B69" s="42"/>
      <c r="C69" s="42"/>
      <c r="D69" s="25"/>
      <c r="E69" s="25"/>
      <c r="F69" s="42" t="e">
        <f t="shared" si="5"/>
        <v>#REF!</v>
      </c>
      <c r="G69" s="42" t="e">
        <f t="shared" si="5"/>
        <v>#REF!</v>
      </c>
      <c r="H69" s="43"/>
      <c r="K69" s="31" t="str">
        <f>"""GP"",""Ute Indian Tribe Membership Fund"",""aaa_contract_detail_sp"",""JRNENTRY"",""1576572"",""aaGLHdrID"",""1744532"",""aaGLDistID"",""17"",""aaGLAssignID"",""1"",""contract"",""3460 92 URHS FY2025"""</f>
        <v>"GP","Ute Indian Tribe Membership Fund","aaa_contract_detail_sp","JRNENTRY","1576572","aaGLHdrID","1744532","aaGLDistID","17","aaGLAssignID","1","contract","3460 92 URHS FY2025"</v>
      </c>
      <c r="L69" s="44">
        <v>45631</v>
      </c>
      <c r="M69" s="31">
        <v>1576572</v>
      </c>
      <c r="N69" s="31" t="str">
        <f>""</f>
        <v/>
      </c>
      <c r="O69" s="31" t="str">
        <f>""</f>
        <v/>
      </c>
      <c r="P69" s="31" t="str">
        <f>""</f>
        <v/>
      </c>
      <c r="Q69" s="45" t="str">
        <f>""</f>
        <v/>
      </c>
      <c r="R69" s="46">
        <v>1000</v>
      </c>
      <c r="S69" s="46">
        <v>0</v>
      </c>
      <c r="T69" s="47">
        <f t="shared" si="6"/>
        <v>1000</v>
      </c>
    </row>
    <row r="70" spans="1:20" s="31" customFormat="1" x14ac:dyDescent="0.25">
      <c r="A70" s="25" t="s">
        <v>25</v>
      </c>
      <c r="B70" s="42"/>
      <c r="C70" s="42"/>
      <c r="D70" s="25"/>
      <c r="E70" s="25"/>
      <c r="F70" s="42" t="e">
        <f t="shared" si="5"/>
        <v>#REF!</v>
      </c>
      <c r="G70" s="42" t="e">
        <f t="shared" si="5"/>
        <v>#REF!</v>
      </c>
      <c r="H70" s="43"/>
      <c r="K70" s="31" t="str">
        <f>"""GP"",""Ute Indian Tribe Membership Fund"",""aaa_contract_detail_sp"",""JRNENTRY"",""1576577"",""aaGLHdrID"",""1744537"",""aaGLDistID"",""16"",""aaGLAssignID"",""1"",""contract"",""3460 92 URHS FY2025"""</f>
        <v>"GP","Ute Indian Tribe Membership Fund","aaa_contract_detail_sp","JRNENTRY","1576577","aaGLHdrID","1744537","aaGLDistID","16","aaGLAssignID","1","contract","3460 92 URHS FY2025"</v>
      </c>
      <c r="L70" s="44">
        <v>45631</v>
      </c>
      <c r="M70" s="31">
        <v>1576577</v>
      </c>
      <c r="N70" s="31" t="str">
        <f>""</f>
        <v/>
      </c>
      <c r="O70" s="31" t="str">
        <f>""</f>
        <v/>
      </c>
      <c r="P70" s="31" t="str">
        <f>""</f>
        <v/>
      </c>
      <c r="Q70" s="45" t="str">
        <f>""</f>
        <v/>
      </c>
      <c r="R70" s="46">
        <v>3806.72</v>
      </c>
      <c r="S70" s="46">
        <v>0</v>
      </c>
      <c r="T70" s="47">
        <f t="shared" si="6"/>
        <v>3806.72</v>
      </c>
    </row>
    <row r="71" spans="1:20" s="31" customFormat="1" x14ac:dyDescent="0.25">
      <c r="A71" s="25" t="s">
        <v>25</v>
      </c>
      <c r="B71" s="42"/>
      <c r="C71" s="42"/>
      <c r="D71" s="25"/>
      <c r="E71" s="25"/>
      <c r="F71" s="42" t="e">
        <f t="shared" si="5"/>
        <v>#REF!</v>
      </c>
      <c r="G71" s="42" t="e">
        <f t="shared" si="5"/>
        <v>#REF!</v>
      </c>
      <c r="H71" s="43"/>
      <c r="K71" s="31" t="str">
        <f>"""GP"",""Ute Indian Tribe Membership Fund"",""aaa_contract_detail_sp"",""JRNENTRY"",""1576577"",""aaGLHdrID"",""1744537"",""aaGLDistID"",""17"",""aaGLAssignID"",""1"",""contract"",""3460 92 URHS FY2025"""</f>
        <v>"GP","Ute Indian Tribe Membership Fund","aaa_contract_detail_sp","JRNENTRY","1576577","aaGLHdrID","1744537","aaGLDistID","17","aaGLAssignID","1","contract","3460 92 URHS FY2025"</v>
      </c>
      <c r="L71" s="44">
        <v>45631</v>
      </c>
      <c r="M71" s="31">
        <v>1576577</v>
      </c>
      <c r="N71" s="31" t="str">
        <f>""</f>
        <v/>
      </c>
      <c r="O71" s="31" t="str">
        <f>""</f>
        <v/>
      </c>
      <c r="P71" s="31" t="str">
        <f>""</f>
        <v/>
      </c>
      <c r="Q71" s="45" t="str">
        <f>""</f>
        <v/>
      </c>
      <c r="R71" s="46">
        <v>1000</v>
      </c>
      <c r="S71" s="46">
        <v>0</v>
      </c>
      <c r="T71" s="47">
        <f t="shared" si="6"/>
        <v>1000</v>
      </c>
    </row>
    <row r="72" spans="1:20" s="31" customFormat="1" x14ac:dyDescent="0.25">
      <c r="A72" s="25" t="s">
        <v>25</v>
      </c>
      <c r="B72" s="42"/>
      <c r="C72" s="42"/>
      <c r="D72" s="25"/>
      <c r="E72" s="25"/>
      <c r="F72" s="42" t="e">
        <f t="shared" si="5"/>
        <v>#REF!</v>
      </c>
      <c r="G72" s="42" t="e">
        <f t="shared" si="5"/>
        <v>#REF!</v>
      </c>
      <c r="H72" s="43"/>
      <c r="K72" s="31" t="str">
        <f>"""GP"",""Ute Indian Tribe Membership Fund"",""aaa_contract_detail_sp"",""JRNENTRY"",""1576618"",""aaGLHdrID"",""1744578"",""aaGLDistID"",""14"",""aaGLAssignID"",""1"",""contract"",""3460 92 URHS FY2025"""</f>
        <v>"GP","Ute Indian Tribe Membership Fund","aaa_contract_detail_sp","JRNENTRY","1576618","aaGLHdrID","1744578","aaGLDistID","14","aaGLAssignID","1","contract","3460 92 URHS FY2025"</v>
      </c>
      <c r="L72" s="44">
        <v>45631</v>
      </c>
      <c r="M72" s="31">
        <v>1576618</v>
      </c>
      <c r="N72" s="31" t="str">
        <f>""</f>
        <v/>
      </c>
      <c r="O72" s="31" t="str">
        <f>""</f>
        <v/>
      </c>
      <c r="P72" s="31" t="str">
        <f>""</f>
        <v/>
      </c>
      <c r="Q72" s="45" t="str">
        <f>""</f>
        <v/>
      </c>
      <c r="R72" s="46">
        <v>1986.72</v>
      </c>
      <c r="S72" s="46">
        <v>0</v>
      </c>
      <c r="T72" s="47">
        <f t="shared" si="6"/>
        <v>1986.72</v>
      </c>
    </row>
    <row r="73" spans="1:20" s="31" customFormat="1" x14ac:dyDescent="0.25">
      <c r="A73" s="25" t="s">
        <v>25</v>
      </c>
      <c r="B73" s="42"/>
      <c r="C73" s="42"/>
      <c r="D73" s="25"/>
      <c r="E73" s="25"/>
      <c r="F73" s="42" t="e">
        <f t="shared" si="5"/>
        <v>#REF!</v>
      </c>
      <c r="G73" s="42" t="e">
        <f t="shared" si="5"/>
        <v>#REF!</v>
      </c>
      <c r="H73" s="43"/>
      <c r="K73" s="31" t="str">
        <f>"""GP"",""Ute Indian Tribe Membership Fund"",""aaa_contract_detail_sp"",""JRNENTRY"",""1576618"",""aaGLHdrID"",""1744578"",""aaGLDistID"",""15"",""aaGLAssignID"",""1"",""contract"",""3460 92 URHS FY2025"""</f>
        <v>"GP","Ute Indian Tribe Membership Fund","aaa_contract_detail_sp","JRNENTRY","1576618","aaGLHdrID","1744578","aaGLDistID","15","aaGLAssignID","1","contract","3460 92 URHS FY2025"</v>
      </c>
      <c r="L73" s="44">
        <v>45631</v>
      </c>
      <c r="M73" s="31">
        <v>1576618</v>
      </c>
      <c r="N73" s="31" t="str">
        <f>""</f>
        <v/>
      </c>
      <c r="O73" s="31" t="str">
        <f>""</f>
        <v/>
      </c>
      <c r="P73" s="31" t="str">
        <f>""</f>
        <v/>
      </c>
      <c r="Q73" s="45" t="str">
        <f>""</f>
        <v/>
      </c>
      <c r="R73" s="46">
        <v>662.24</v>
      </c>
      <c r="S73" s="46">
        <v>0</v>
      </c>
      <c r="T73" s="47">
        <f t="shared" si="6"/>
        <v>662.24</v>
      </c>
    </row>
    <row r="74" spans="1:20" s="31" customFormat="1" x14ac:dyDescent="0.25">
      <c r="A74" s="25" t="s">
        <v>25</v>
      </c>
      <c r="B74" s="42"/>
      <c r="C74" s="42"/>
      <c r="D74" s="25"/>
      <c r="E74" s="25"/>
      <c r="F74" s="42" t="e">
        <f t="shared" si="5"/>
        <v>#REF!</v>
      </c>
      <c r="G74" s="42" t="e">
        <f t="shared" si="5"/>
        <v>#REF!</v>
      </c>
      <c r="H74" s="43"/>
      <c r="K74" s="31" t="str">
        <f>"""GP"",""Ute Indian Tribe Membership Fund"",""aaa_contract_detail_sp"",""JRNENTRY"",""1576618"",""aaGLHdrID"",""1744578"",""aaGLDistID"",""16"",""aaGLAssignID"",""1"",""contract"",""3460 92 URHS FY2025"""</f>
        <v>"GP","Ute Indian Tribe Membership Fund","aaa_contract_detail_sp","JRNENTRY","1576618","aaGLHdrID","1744578","aaGLDistID","16","aaGLAssignID","1","contract","3460 92 URHS FY2025"</v>
      </c>
      <c r="L74" s="44">
        <v>45631</v>
      </c>
      <c r="M74" s="31">
        <v>1576618</v>
      </c>
      <c r="N74" s="31" t="str">
        <f>""</f>
        <v/>
      </c>
      <c r="O74" s="31" t="str">
        <f>""</f>
        <v/>
      </c>
      <c r="P74" s="31" t="str">
        <f>""</f>
        <v/>
      </c>
      <c r="Q74" s="45" t="str">
        <f>""</f>
        <v/>
      </c>
      <c r="R74" s="46">
        <v>1000</v>
      </c>
      <c r="S74" s="46">
        <v>0</v>
      </c>
      <c r="T74" s="47">
        <f t="shared" si="6"/>
        <v>1000</v>
      </c>
    </row>
    <row r="75" spans="1:20" s="31" customFormat="1" x14ac:dyDescent="0.25">
      <c r="A75" s="25" t="s">
        <v>25</v>
      </c>
      <c r="B75" s="42"/>
      <c r="C75" s="42"/>
      <c r="D75" s="25"/>
      <c r="E75" s="25"/>
      <c r="F75" s="42" t="e">
        <f t="shared" si="5"/>
        <v>#REF!</v>
      </c>
      <c r="G75" s="42" t="e">
        <f t="shared" si="5"/>
        <v>#REF!</v>
      </c>
      <c r="H75" s="43"/>
      <c r="K75" s="31" t="str">
        <f>"""GP"",""Ute Indian Tribe Membership Fund"",""aaa_contract_detail_sp"",""JRNENTRY"",""1576618"",""aaGLHdrID"",""1744578"",""aaGLDistID"",""17"",""aaGLAssignID"",""1"",""contract"",""3460 92 URHS FY2025"""</f>
        <v>"GP","Ute Indian Tribe Membership Fund","aaa_contract_detail_sp","JRNENTRY","1576618","aaGLHdrID","1744578","aaGLDistID","17","aaGLAssignID","1","contract","3460 92 URHS FY2025"</v>
      </c>
      <c r="L75" s="44">
        <v>45631</v>
      </c>
      <c r="M75" s="31">
        <v>1576618</v>
      </c>
      <c r="N75" s="31" t="str">
        <f>""</f>
        <v/>
      </c>
      <c r="O75" s="31" t="str">
        <f>""</f>
        <v/>
      </c>
      <c r="P75" s="31" t="str">
        <f>""</f>
        <v/>
      </c>
      <c r="Q75" s="45" t="str">
        <f>""</f>
        <v/>
      </c>
      <c r="R75" s="46">
        <v>140</v>
      </c>
      <c r="S75" s="46">
        <v>0</v>
      </c>
      <c r="T75" s="47">
        <f t="shared" si="6"/>
        <v>140</v>
      </c>
    </row>
    <row r="76" spans="1:20" s="31" customFormat="1" x14ac:dyDescent="0.25">
      <c r="A76" s="25" t="s">
        <v>25</v>
      </c>
      <c r="B76" s="42"/>
      <c r="C76" s="42"/>
      <c r="D76" s="25"/>
      <c r="E76" s="25"/>
      <c r="F76" s="42" t="e">
        <f t="shared" si="5"/>
        <v>#REF!</v>
      </c>
      <c r="G76" s="42" t="e">
        <f t="shared" si="5"/>
        <v>#REF!</v>
      </c>
      <c r="H76" s="43"/>
      <c r="K76" s="31" t="str">
        <f>"""GP"",""Ute Indian Tribe Membership Fund"",""aaa_contract_detail_sp"",""JRNENTRY"",""1576619"",""aaGLHdrID"",""1744579"",""aaGLDistID"",""13"",""aaGLAssignID"",""1"",""contract"",""3460 92 URHS FY2025"""</f>
        <v>"GP","Ute Indian Tribe Membership Fund","aaa_contract_detail_sp","JRNENTRY","1576619","aaGLHdrID","1744579","aaGLDistID","13","aaGLAssignID","1","contract","3460 92 URHS FY2025"</v>
      </c>
      <c r="L76" s="44">
        <v>45631</v>
      </c>
      <c r="M76" s="31">
        <v>1576619</v>
      </c>
      <c r="N76" s="31" t="str">
        <f>""</f>
        <v/>
      </c>
      <c r="O76" s="31" t="str">
        <f>""</f>
        <v/>
      </c>
      <c r="P76" s="31" t="str">
        <f>""</f>
        <v/>
      </c>
      <c r="Q76" s="45" t="str">
        <f>""</f>
        <v/>
      </c>
      <c r="R76" s="46">
        <v>2053.44</v>
      </c>
      <c r="S76" s="46">
        <v>0</v>
      </c>
      <c r="T76" s="47">
        <f t="shared" si="6"/>
        <v>2053.44</v>
      </c>
    </row>
    <row r="77" spans="1:20" s="31" customFormat="1" x14ac:dyDescent="0.25">
      <c r="A77" s="25" t="s">
        <v>25</v>
      </c>
      <c r="B77" s="42"/>
      <c r="C77" s="42"/>
      <c r="D77" s="25"/>
      <c r="E77" s="25"/>
      <c r="F77" s="42" t="e">
        <f t="shared" si="5"/>
        <v>#REF!</v>
      </c>
      <c r="G77" s="42" t="e">
        <f t="shared" si="5"/>
        <v>#REF!</v>
      </c>
      <c r="H77" s="43"/>
      <c r="K77" s="31" t="str">
        <f>"""GP"",""Ute Indian Tribe Membership Fund"",""aaa_contract_detail_sp"",""JRNENTRY"",""1576619"",""aaGLHdrID"",""1744579"",""aaGLDistID"",""14"",""aaGLAssignID"",""1"",""contract"",""3460 92 URHS FY2025"""</f>
        <v>"GP","Ute Indian Tribe Membership Fund","aaa_contract_detail_sp","JRNENTRY","1576619","aaGLHdrID","1744579","aaGLDistID","14","aaGLAssignID","1","contract","3460 92 URHS FY2025"</v>
      </c>
      <c r="L77" s="44">
        <v>45631</v>
      </c>
      <c r="M77" s="31">
        <v>1576619</v>
      </c>
      <c r="N77" s="31" t="str">
        <f>""</f>
        <v/>
      </c>
      <c r="O77" s="31" t="str">
        <f>""</f>
        <v/>
      </c>
      <c r="P77" s="31" t="str">
        <f>""</f>
        <v/>
      </c>
      <c r="Q77" s="45" t="str">
        <f>""</f>
        <v/>
      </c>
      <c r="R77" s="46">
        <v>684.48</v>
      </c>
      <c r="S77" s="46">
        <v>0</v>
      </c>
      <c r="T77" s="47">
        <f t="shared" si="6"/>
        <v>684.48</v>
      </c>
    </row>
    <row r="78" spans="1:20" s="31" customFormat="1" x14ac:dyDescent="0.25">
      <c r="A78" s="25" t="s">
        <v>25</v>
      </c>
      <c r="B78" s="42"/>
      <c r="C78" s="42"/>
      <c r="D78" s="25"/>
      <c r="E78" s="25"/>
      <c r="F78" s="42" t="e">
        <f t="shared" si="5"/>
        <v>#REF!</v>
      </c>
      <c r="G78" s="42" t="e">
        <f t="shared" si="5"/>
        <v>#REF!</v>
      </c>
      <c r="H78" s="43"/>
      <c r="K78" s="31" t="str">
        <f>"""GP"",""Ute Indian Tribe Membership Fund"",""aaa_contract_detail_sp"",""JRNENTRY"",""1576619"",""aaGLHdrID"",""1744579"",""aaGLDistID"",""15"",""aaGLAssignID"",""1"",""contract"",""3460 92 URHS FY2025"""</f>
        <v>"GP","Ute Indian Tribe Membership Fund","aaa_contract_detail_sp","JRNENTRY","1576619","aaGLHdrID","1744579","aaGLDistID","15","aaGLAssignID","1","contract","3460 92 URHS FY2025"</v>
      </c>
      <c r="L78" s="44">
        <v>45631</v>
      </c>
      <c r="M78" s="31">
        <v>1576619</v>
      </c>
      <c r="N78" s="31" t="str">
        <f>""</f>
        <v/>
      </c>
      <c r="O78" s="31" t="str">
        <f>""</f>
        <v/>
      </c>
      <c r="P78" s="31" t="str">
        <f>""</f>
        <v/>
      </c>
      <c r="Q78" s="45" t="str">
        <f>""</f>
        <v/>
      </c>
      <c r="R78" s="46">
        <v>1000</v>
      </c>
      <c r="S78" s="46">
        <v>0</v>
      </c>
      <c r="T78" s="47">
        <f t="shared" si="6"/>
        <v>1000</v>
      </c>
    </row>
    <row r="79" spans="1:20" s="31" customFormat="1" x14ac:dyDescent="0.25">
      <c r="A79" s="25" t="s">
        <v>25</v>
      </c>
      <c r="B79" s="42"/>
      <c r="C79" s="42"/>
      <c r="D79" s="25"/>
      <c r="E79" s="25"/>
      <c r="F79" s="42" t="e">
        <f t="shared" si="5"/>
        <v>#REF!</v>
      </c>
      <c r="G79" s="42" t="e">
        <f t="shared" si="5"/>
        <v>#REF!</v>
      </c>
      <c r="H79" s="43"/>
      <c r="K79" s="31" t="str">
        <f>"""GP"",""Ute Indian Tribe Membership Fund"",""aaa_contract_detail_sp"",""JRNENTRY"",""1576712"",""aaGLHdrID"",""1744672"",""aaGLDistID"",""13"",""aaGLAssignID"",""1"",""contract"",""3460 92 URHS FY2025"""</f>
        <v>"GP","Ute Indian Tribe Membership Fund","aaa_contract_detail_sp","JRNENTRY","1576712","aaGLHdrID","1744672","aaGLDistID","13","aaGLAssignID","1","contract","3460 92 URHS FY2025"</v>
      </c>
      <c r="L79" s="44">
        <v>45631</v>
      </c>
      <c r="M79" s="31">
        <v>1576712</v>
      </c>
      <c r="N79" s="31" t="str">
        <f>""</f>
        <v/>
      </c>
      <c r="O79" s="31" t="str">
        <f>""</f>
        <v/>
      </c>
      <c r="P79" s="31" t="str">
        <f>""</f>
        <v/>
      </c>
      <c r="Q79" s="45" t="str">
        <f>""</f>
        <v/>
      </c>
      <c r="R79" s="46">
        <v>2391.1999999999998</v>
      </c>
      <c r="S79" s="46">
        <v>0</v>
      </c>
      <c r="T79" s="47">
        <f t="shared" si="6"/>
        <v>2391.1999999999998</v>
      </c>
    </row>
    <row r="80" spans="1:20" s="31" customFormat="1" x14ac:dyDescent="0.25">
      <c r="A80" s="25" t="s">
        <v>25</v>
      </c>
      <c r="B80" s="42"/>
      <c r="C80" s="42"/>
      <c r="D80" s="25"/>
      <c r="E80" s="25"/>
      <c r="F80" s="42" t="e">
        <f t="shared" si="5"/>
        <v>#REF!</v>
      </c>
      <c r="G80" s="42" t="e">
        <f t="shared" si="5"/>
        <v>#REF!</v>
      </c>
      <c r="H80" s="43"/>
      <c r="K80" s="31" t="str">
        <f>"""GP"",""Ute Indian Tribe Membership Fund"",""aaa_contract_detail_sp"",""JRNENTRY"",""1576712"",""aaGLHdrID"",""1744672"",""aaGLDistID"",""14"",""aaGLAssignID"",""1"",""contract"",""3460 92 URHS FY2025"""</f>
        <v>"GP","Ute Indian Tribe Membership Fund","aaa_contract_detail_sp","JRNENTRY","1576712","aaGLHdrID","1744672","aaGLDistID","14","aaGLAssignID","1","contract","3460 92 URHS FY2025"</v>
      </c>
      <c r="L80" s="44">
        <v>45631</v>
      </c>
      <c r="M80" s="31">
        <v>1576712</v>
      </c>
      <c r="N80" s="31" t="str">
        <f>""</f>
        <v/>
      </c>
      <c r="O80" s="31" t="str">
        <f>""</f>
        <v/>
      </c>
      <c r="P80" s="31" t="str">
        <f>""</f>
        <v/>
      </c>
      <c r="Q80" s="45" t="str">
        <f>""</f>
        <v/>
      </c>
      <c r="R80" s="46">
        <v>117.6</v>
      </c>
      <c r="S80" s="46">
        <v>0</v>
      </c>
      <c r="T80" s="47">
        <f t="shared" si="6"/>
        <v>117.6</v>
      </c>
    </row>
    <row r="81" spans="1:20" s="31" customFormat="1" x14ac:dyDescent="0.25">
      <c r="A81" s="25" t="s">
        <v>25</v>
      </c>
      <c r="B81" s="42"/>
      <c r="C81" s="42"/>
      <c r="D81" s="25"/>
      <c r="E81" s="25"/>
      <c r="F81" s="42" t="e">
        <f t="shared" si="5"/>
        <v>#REF!</v>
      </c>
      <c r="G81" s="42" t="e">
        <f t="shared" si="5"/>
        <v>#REF!</v>
      </c>
      <c r="H81" s="43"/>
      <c r="K81" s="31" t="str">
        <f>"""GP"",""Ute Indian Tribe Membership Fund"",""aaa_contract_detail_sp"",""JRNENTRY"",""1576712"",""aaGLHdrID"",""1744672"",""aaGLDistID"",""15"",""aaGLAssignID"",""1"",""contract"",""3460 92 URHS FY2025"""</f>
        <v>"GP","Ute Indian Tribe Membership Fund","aaa_contract_detail_sp","JRNENTRY","1576712","aaGLHdrID","1744672","aaGLDistID","15","aaGLAssignID","1","contract","3460 92 URHS FY2025"</v>
      </c>
      <c r="L81" s="44">
        <v>45631</v>
      </c>
      <c r="M81" s="31">
        <v>1576712</v>
      </c>
      <c r="N81" s="31" t="str">
        <f>""</f>
        <v/>
      </c>
      <c r="O81" s="31" t="str">
        <f>""</f>
        <v/>
      </c>
      <c r="P81" s="31" t="str">
        <f>""</f>
        <v/>
      </c>
      <c r="Q81" s="45" t="str">
        <f>""</f>
        <v/>
      </c>
      <c r="R81" s="46">
        <v>1000</v>
      </c>
      <c r="S81" s="46">
        <v>0</v>
      </c>
      <c r="T81" s="47">
        <f t="shared" si="6"/>
        <v>1000</v>
      </c>
    </row>
    <row r="82" spans="1:20" s="31" customFormat="1" x14ac:dyDescent="0.25">
      <c r="A82" s="25" t="s">
        <v>25</v>
      </c>
      <c r="B82" s="42"/>
      <c r="C82" s="42"/>
      <c r="D82" s="25"/>
      <c r="E82" s="25"/>
      <c r="F82" s="42" t="e">
        <f t="shared" si="5"/>
        <v>#REF!</v>
      </c>
      <c r="G82" s="42" t="e">
        <f t="shared" si="5"/>
        <v>#REF!</v>
      </c>
      <c r="H82" s="43"/>
      <c r="K82" s="31" t="str">
        <f>"""GP"",""Ute Indian Tribe Membership Fund"",""aaa_contract_detail_sp"",""JRNENTRY"",""1576790"",""aaGLHdrID"",""1744750"",""aaGLDistID"",""12"",""aaGLAssignID"",""1"",""contract"",""3460 92 URHS FY2025"""</f>
        <v>"GP","Ute Indian Tribe Membership Fund","aaa_contract_detail_sp","JRNENTRY","1576790","aaGLHdrID","1744750","aaGLDistID","12","aaGLAssignID","1","contract","3460 92 URHS FY2025"</v>
      </c>
      <c r="L82" s="44">
        <v>45631</v>
      </c>
      <c r="M82" s="31">
        <v>1576790</v>
      </c>
      <c r="N82" s="31" t="str">
        <f>""</f>
        <v/>
      </c>
      <c r="O82" s="31" t="str">
        <f>""</f>
        <v/>
      </c>
      <c r="P82" s="31" t="str">
        <f>""</f>
        <v/>
      </c>
      <c r="Q82" s="45" t="str">
        <f>""</f>
        <v/>
      </c>
      <c r="R82" s="46">
        <v>1455.36</v>
      </c>
      <c r="S82" s="46">
        <v>0</v>
      </c>
      <c r="T82" s="47">
        <f t="shared" si="6"/>
        <v>1455.36</v>
      </c>
    </row>
    <row r="83" spans="1:20" s="31" customFormat="1" x14ac:dyDescent="0.25">
      <c r="A83" s="25" t="s">
        <v>25</v>
      </c>
      <c r="B83" s="42"/>
      <c r="C83" s="42"/>
      <c r="D83" s="25"/>
      <c r="E83" s="25"/>
      <c r="F83" s="42" t="e">
        <f t="shared" si="5"/>
        <v>#REF!</v>
      </c>
      <c r="G83" s="42" t="e">
        <f t="shared" si="5"/>
        <v>#REF!</v>
      </c>
      <c r="H83" s="43"/>
      <c r="K83" s="31" t="str">
        <f>"""GP"",""Ute Indian Tribe Membership Fund"",""aaa_contract_detail_sp"",""JRNENTRY"",""1576790"",""aaGLHdrID"",""1744750"",""aaGLDistID"",""13"",""aaGLAssignID"",""1"",""contract"",""3460 92 URHS FY2025"""</f>
        <v>"GP","Ute Indian Tribe Membership Fund","aaa_contract_detail_sp","JRNENTRY","1576790","aaGLHdrID","1744750","aaGLDistID","13","aaGLAssignID","1","contract","3460 92 URHS FY2025"</v>
      </c>
      <c r="L83" s="44">
        <v>45631</v>
      </c>
      <c r="M83" s="31">
        <v>1576790</v>
      </c>
      <c r="N83" s="31" t="str">
        <f>""</f>
        <v/>
      </c>
      <c r="O83" s="31" t="str">
        <f>""</f>
        <v/>
      </c>
      <c r="P83" s="31" t="str">
        <f>""</f>
        <v/>
      </c>
      <c r="Q83" s="45" t="str">
        <f>""</f>
        <v/>
      </c>
      <c r="R83" s="46">
        <v>1000</v>
      </c>
      <c r="S83" s="46">
        <v>0</v>
      </c>
      <c r="T83" s="47">
        <f t="shared" si="6"/>
        <v>1000</v>
      </c>
    </row>
    <row r="84" spans="1:20" s="31" customFormat="1" x14ac:dyDescent="0.25">
      <c r="A84" s="25" t="s">
        <v>25</v>
      </c>
      <c r="B84" s="42"/>
      <c r="C84" s="42"/>
      <c r="D84" s="25"/>
      <c r="E84" s="25"/>
      <c r="F84" s="42" t="e">
        <f t="shared" si="5"/>
        <v>#REF!</v>
      </c>
      <c r="G84" s="42" t="e">
        <f t="shared" si="5"/>
        <v>#REF!</v>
      </c>
      <c r="H84" s="43"/>
      <c r="K84" s="31" t="str">
        <f>"""GP"",""Ute Indian Tribe Membership Fund"",""aaa_contract_detail_sp"",""JRNENTRY"",""1576790"",""aaGLHdrID"",""1744750"",""aaGLDistID"",""14"",""aaGLAssignID"",""1"",""contract"",""3460 92 URHS FY2025"""</f>
        <v>"GP","Ute Indian Tribe Membership Fund","aaa_contract_detail_sp","JRNENTRY","1576790","aaGLHdrID","1744750","aaGLDistID","14","aaGLAssignID","1","contract","3460 92 URHS FY2025"</v>
      </c>
      <c r="L84" s="44">
        <v>45631</v>
      </c>
      <c r="M84" s="31">
        <v>1576790</v>
      </c>
      <c r="N84" s="31" t="str">
        <f>""</f>
        <v/>
      </c>
      <c r="O84" s="31" t="str">
        <f>""</f>
        <v/>
      </c>
      <c r="P84" s="31" t="str">
        <f>""</f>
        <v/>
      </c>
      <c r="Q84" s="45" t="str">
        <f>""</f>
        <v/>
      </c>
      <c r="R84" s="46">
        <v>374.4</v>
      </c>
      <c r="S84" s="46">
        <v>0</v>
      </c>
      <c r="T84" s="47">
        <f t="shared" si="6"/>
        <v>374.4</v>
      </c>
    </row>
    <row r="85" spans="1:20" s="31" customFormat="1" x14ac:dyDescent="0.25">
      <c r="A85" s="25" t="s">
        <v>25</v>
      </c>
      <c r="B85" s="42"/>
      <c r="C85" s="42"/>
      <c r="D85" s="25"/>
      <c r="E85" s="25"/>
      <c r="F85" s="42" t="e">
        <f t="shared" si="5"/>
        <v>#REF!</v>
      </c>
      <c r="G85" s="42" t="e">
        <f t="shared" si="5"/>
        <v>#REF!</v>
      </c>
      <c r="H85" s="43"/>
      <c r="K85" s="31" t="str">
        <f>"""GP"",""Ute Indian Tribe Membership Fund"",""aaa_contract_detail_sp"",""JRNENTRY"",""1576794"",""aaGLHdrID"",""1744754"",""aaGLDistID"",""15"",""aaGLAssignID"",""1"",""contract"",""3460 92 URHS FY2025"""</f>
        <v>"GP","Ute Indian Tribe Membership Fund","aaa_contract_detail_sp","JRNENTRY","1576794","aaGLHdrID","1744754","aaGLDistID","15","aaGLAssignID","1","contract","3460 92 URHS FY2025"</v>
      </c>
      <c r="L85" s="44">
        <v>45631</v>
      </c>
      <c r="M85" s="31">
        <v>1576794</v>
      </c>
      <c r="N85" s="31" t="str">
        <f>""</f>
        <v/>
      </c>
      <c r="O85" s="31" t="str">
        <f>""</f>
        <v/>
      </c>
      <c r="P85" s="31" t="str">
        <f>""</f>
        <v/>
      </c>
      <c r="Q85" s="45" t="str">
        <f>""</f>
        <v/>
      </c>
      <c r="R85" s="46">
        <v>1570.56</v>
      </c>
      <c r="S85" s="46">
        <v>0</v>
      </c>
      <c r="T85" s="47">
        <f t="shared" si="6"/>
        <v>1570.56</v>
      </c>
    </row>
    <row r="86" spans="1:20" s="31" customFormat="1" x14ac:dyDescent="0.25">
      <c r="A86" s="25" t="s">
        <v>25</v>
      </c>
      <c r="B86" s="42"/>
      <c r="C86" s="42"/>
      <c r="D86" s="25"/>
      <c r="E86" s="25"/>
      <c r="F86" s="42" t="e">
        <f t="shared" si="5"/>
        <v>#REF!</v>
      </c>
      <c r="G86" s="42" t="e">
        <f t="shared" si="5"/>
        <v>#REF!</v>
      </c>
      <c r="H86" s="43"/>
      <c r="K86" s="31" t="str">
        <f>"""GP"",""Ute Indian Tribe Membership Fund"",""aaa_contract_detail_sp"",""JRNENTRY"",""1576794"",""aaGLHdrID"",""1744754"",""aaGLDistID"",""16"",""aaGLAssignID"",""1"",""contract"",""3460 92 URHS FY2025"""</f>
        <v>"GP","Ute Indian Tribe Membership Fund","aaa_contract_detail_sp","JRNENTRY","1576794","aaGLHdrID","1744754","aaGLDistID","16","aaGLAssignID","1","contract","3460 92 URHS FY2025"</v>
      </c>
      <c r="L86" s="44">
        <v>45631</v>
      </c>
      <c r="M86" s="31">
        <v>1576794</v>
      </c>
      <c r="N86" s="31" t="str">
        <f>""</f>
        <v/>
      </c>
      <c r="O86" s="31" t="str">
        <f>""</f>
        <v/>
      </c>
      <c r="P86" s="31" t="str">
        <f>""</f>
        <v/>
      </c>
      <c r="Q86" s="45" t="str">
        <f>""</f>
        <v/>
      </c>
      <c r="R86" s="46">
        <v>1000</v>
      </c>
      <c r="S86" s="46">
        <v>0</v>
      </c>
      <c r="T86" s="47">
        <f t="shared" si="6"/>
        <v>1000</v>
      </c>
    </row>
    <row r="87" spans="1:20" s="31" customFormat="1" x14ac:dyDescent="0.25">
      <c r="A87" s="25" t="s">
        <v>25</v>
      </c>
      <c r="B87" s="42"/>
      <c r="C87" s="42"/>
      <c r="D87" s="25"/>
      <c r="E87" s="25"/>
      <c r="F87" s="42" t="e">
        <f t="shared" si="5"/>
        <v>#REF!</v>
      </c>
      <c r="G87" s="42" t="e">
        <f t="shared" si="5"/>
        <v>#REF!</v>
      </c>
      <c r="H87" s="43"/>
      <c r="K87" s="31" t="str">
        <f>"""GP"",""Ute Indian Tribe Membership Fund"",""aaa_contract_detail_sp"",""JRNENTRY"",""1579504"",""aaGLHdrID"",""1747393"",""aaGLDistID"",""15"",""aaGLAssignID"",""1"",""contract"",""3460 92 URHS FY2025"""</f>
        <v>"GP","Ute Indian Tribe Membership Fund","aaa_contract_detail_sp","JRNENTRY","1579504","aaGLHdrID","1747393","aaGLDistID","15","aaGLAssignID","1","contract","3460 92 URHS FY2025"</v>
      </c>
      <c r="L87" s="44">
        <v>45645</v>
      </c>
      <c r="M87" s="31">
        <v>1579504</v>
      </c>
      <c r="N87" s="31" t="str">
        <f>""</f>
        <v/>
      </c>
      <c r="O87" s="31" t="str">
        <f>""</f>
        <v/>
      </c>
      <c r="P87" s="31" t="str">
        <f>""</f>
        <v/>
      </c>
      <c r="Q87" s="45" t="str">
        <f>""</f>
        <v/>
      </c>
      <c r="R87" s="46">
        <v>2088.2399999999998</v>
      </c>
      <c r="S87" s="46">
        <v>0</v>
      </c>
      <c r="T87" s="47">
        <f t="shared" si="6"/>
        <v>2088.2399999999998</v>
      </c>
    </row>
    <row r="88" spans="1:20" s="31" customFormat="1" x14ac:dyDescent="0.25">
      <c r="A88" s="25" t="s">
        <v>25</v>
      </c>
      <c r="B88" s="42"/>
      <c r="C88" s="42"/>
      <c r="D88" s="25"/>
      <c r="E88" s="25"/>
      <c r="F88" s="42" t="e">
        <f t="shared" si="5"/>
        <v>#REF!</v>
      </c>
      <c r="G88" s="42" t="e">
        <f t="shared" si="5"/>
        <v>#REF!</v>
      </c>
      <c r="H88" s="43"/>
      <c r="K88" s="31" t="str">
        <f>"""GP"",""Ute Indian Tribe Membership Fund"",""aaa_contract_detail_sp"",""JRNENTRY"",""1579504"",""aaGLHdrID"",""1747393"",""aaGLDistID"",""16"",""aaGLAssignID"",""1"",""contract"",""3460 92 URHS FY2025"""</f>
        <v>"GP","Ute Indian Tribe Membership Fund","aaa_contract_detail_sp","JRNENTRY","1579504","aaGLHdrID","1747393","aaGLDistID","16","aaGLAssignID","1","contract","3460 92 URHS FY2025"</v>
      </c>
      <c r="L88" s="44">
        <v>45645</v>
      </c>
      <c r="M88" s="31">
        <v>1579504</v>
      </c>
      <c r="N88" s="31" t="str">
        <f>""</f>
        <v/>
      </c>
      <c r="O88" s="31" t="str">
        <f>""</f>
        <v/>
      </c>
      <c r="P88" s="31" t="str">
        <f>""</f>
        <v/>
      </c>
      <c r="Q88" s="45" t="str">
        <f>""</f>
        <v/>
      </c>
      <c r="R88" s="46">
        <v>298.32</v>
      </c>
      <c r="S88" s="46">
        <v>0</v>
      </c>
      <c r="T88" s="47">
        <f t="shared" si="6"/>
        <v>298.32</v>
      </c>
    </row>
    <row r="89" spans="1:20" s="31" customFormat="1" x14ac:dyDescent="0.25">
      <c r="A89" s="25" t="s">
        <v>25</v>
      </c>
      <c r="B89" s="42"/>
      <c r="C89" s="42"/>
      <c r="D89" s="25"/>
      <c r="E89" s="25"/>
      <c r="F89" s="42" t="e">
        <f t="shared" si="5"/>
        <v>#REF!</v>
      </c>
      <c r="G89" s="42" t="e">
        <f t="shared" si="5"/>
        <v>#REF!</v>
      </c>
      <c r="H89" s="43"/>
      <c r="K89" s="31" t="str">
        <f>"""GP"",""Ute Indian Tribe Membership Fund"",""aaa_contract_detail_sp"",""JRNENTRY"",""1579504"",""aaGLHdrID"",""1747393"",""aaGLDistID"",""17"",""aaGLAssignID"",""1"",""contract"",""3460 92 URHS FY2025"""</f>
        <v>"GP","Ute Indian Tribe Membership Fund","aaa_contract_detail_sp","JRNENTRY","1579504","aaGLHdrID","1747393","aaGLDistID","17","aaGLAssignID","1","contract","3460 92 URHS FY2025"</v>
      </c>
      <c r="L89" s="44">
        <v>45645</v>
      </c>
      <c r="M89" s="31">
        <v>1579504</v>
      </c>
      <c r="N89" s="31" t="str">
        <f>""</f>
        <v/>
      </c>
      <c r="O89" s="31" t="str">
        <f>""</f>
        <v/>
      </c>
      <c r="P89" s="31" t="str">
        <f>""</f>
        <v/>
      </c>
      <c r="Q89" s="45" t="str">
        <f>""</f>
        <v/>
      </c>
      <c r="R89" s="46">
        <v>386.24</v>
      </c>
      <c r="S89" s="46">
        <v>0</v>
      </c>
      <c r="T89" s="47">
        <f t="shared" si="6"/>
        <v>386.24</v>
      </c>
    </row>
    <row r="90" spans="1:20" s="31" customFormat="1" x14ac:dyDescent="0.25">
      <c r="A90" s="25" t="s">
        <v>25</v>
      </c>
      <c r="B90" s="42"/>
      <c r="C90" s="42"/>
      <c r="D90" s="25"/>
      <c r="E90" s="25"/>
      <c r="F90" s="42" t="e">
        <f t="shared" ref="F90:G122" si="7">F89</f>
        <v>#REF!</v>
      </c>
      <c r="G90" s="42" t="e">
        <f t="shared" si="7"/>
        <v>#REF!</v>
      </c>
      <c r="H90" s="43"/>
      <c r="K90" s="31" t="str">
        <f>"""GP"",""Ute Indian Tribe Membership Fund"",""aaa_contract_detail_sp"",""JRNENTRY"",""1579569"",""aaGLHdrID"",""1747458"",""aaGLDistID"",""16"",""aaGLAssignID"",""1"",""contract"",""3460 92 URHS FY2025"""</f>
        <v>"GP","Ute Indian Tribe Membership Fund","aaa_contract_detail_sp","JRNENTRY","1579569","aaGLHdrID","1747458","aaGLDistID","16","aaGLAssignID","1","contract","3460 92 URHS FY2025"</v>
      </c>
      <c r="L90" s="44">
        <v>45645</v>
      </c>
      <c r="M90" s="31">
        <v>1579569</v>
      </c>
      <c r="N90" s="31" t="str">
        <f>""</f>
        <v/>
      </c>
      <c r="O90" s="31" t="str">
        <f>""</f>
        <v/>
      </c>
      <c r="P90" s="31" t="str">
        <f>""</f>
        <v/>
      </c>
      <c r="Q90" s="45" t="str">
        <f>""</f>
        <v/>
      </c>
      <c r="R90" s="46">
        <v>2966.4</v>
      </c>
      <c r="S90" s="46">
        <v>0</v>
      </c>
      <c r="T90" s="47">
        <f t="shared" si="6"/>
        <v>2966.4</v>
      </c>
    </row>
    <row r="91" spans="1:20" s="31" customFormat="1" x14ac:dyDescent="0.25">
      <c r="A91" s="25" t="s">
        <v>25</v>
      </c>
      <c r="B91" s="42"/>
      <c r="C91" s="42"/>
      <c r="D91" s="25"/>
      <c r="E91" s="25"/>
      <c r="F91" s="42" t="e">
        <f t="shared" si="7"/>
        <v>#REF!</v>
      </c>
      <c r="G91" s="42" t="e">
        <f t="shared" si="7"/>
        <v>#REF!</v>
      </c>
      <c r="H91" s="43"/>
      <c r="K91" s="31" t="str">
        <f>"""GP"",""Ute Indian Tribe Membership Fund"",""aaa_contract_detail_sp"",""JRNENTRY"",""1579569"",""aaGLHdrID"",""1747458"",""aaGLDistID"",""17"",""aaGLAssignID"",""1"",""contract"",""3460 92 URHS FY2025"""</f>
        <v>"GP","Ute Indian Tribe Membership Fund","aaa_contract_detail_sp","JRNENTRY","1579569","aaGLHdrID","1747458","aaGLDistID","17","aaGLAssignID","1","contract","3460 92 URHS FY2025"</v>
      </c>
      <c r="L91" s="44">
        <v>45645</v>
      </c>
      <c r="M91" s="31">
        <v>1579569</v>
      </c>
      <c r="N91" s="31" t="str">
        <f>""</f>
        <v/>
      </c>
      <c r="O91" s="31" t="str">
        <f>""</f>
        <v/>
      </c>
      <c r="P91" s="31" t="str">
        <f>""</f>
        <v/>
      </c>
      <c r="Q91" s="45" t="str">
        <f>""</f>
        <v/>
      </c>
      <c r="R91" s="46">
        <v>486.88</v>
      </c>
      <c r="S91" s="46">
        <v>0</v>
      </c>
      <c r="T91" s="47">
        <f t="shared" si="6"/>
        <v>486.88</v>
      </c>
    </row>
    <row r="92" spans="1:20" s="31" customFormat="1" x14ac:dyDescent="0.25">
      <c r="A92" s="25" t="s">
        <v>25</v>
      </c>
      <c r="B92" s="42"/>
      <c r="C92" s="42"/>
      <c r="D92" s="25"/>
      <c r="E92" s="25"/>
      <c r="F92" s="42" t="e">
        <f t="shared" si="7"/>
        <v>#REF!</v>
      </c>
      <c r="G92" s="42" t="e">
        <f t="shared" si="7"/>
        <v>#REF!</v>
      </c>
      <c r="H92" s="43"/>
      <c r="K92" s="31" t="str">
        <f>"""GP"",""Ute Indian Tribe Membership Fund"",""aaa_contract_detail_sp"",""JRNENTRY"",""1579569"",""aaGLHdrID"",""1747458"",""aaGLDistID"",""18"",""aaGLAssignID"",""1"",""contract"",""3460 92 URHS FY2025"""</f>
        <v>"GP","Ute Indian Tribe Membership Fund","aaa_contract_detail_sp","JRNENTRY","1579569","aaGLHdrID","1747458","aaGLDistID","18","aaGLAssignID","1","contract","3460 92 URHS FY2025"</v>
      </c>
      <c r="L92" s="44">
        <v>45645</v>
      </c>
      <c r="M92" s="31">
        <v>1579569</v>
      </c>
      <c r="N92" s="31" t="str">
        <f>""</f>
        <v/>
      </c>
      <c r="O92" s="31" t="str">
        <f>""</f>
        <v/>
      </c>
      <c r="P92" s="31" t="str">
        <f>""</f>
        <v/>
      </c>
      <c r="Q92" s="45" t="str">
        <f>""</f>
        <v/>
      </c>
      <c r="R92" s="46">
        <v>11602.5</v>
      </c>
      <c r="S92" s="46">
        <v>0</v>
      </c>
      <c r="T92" s="47">
        <f t="shared" si="6"/>
        <v>11602.5</v>
      </c>
    </row>
    <row r="93" spans="1:20" s="31" customFormat="1" x14ac:dyDescent="0.25">
      <c r="A93" s="25" t="s">
        <v>25</v>
      </c>
      <c r="B93" s="42"/>
      <c r="C93" s="42"/>
      <c r="D93" s="25"/>
      <c r="E93" s="25"/>
      <c r="F93" s="42" t="e">
        <f t="shared" si="7"/>
        <v>#REF!</v>
      </c>
      <c r="G93" s="42" t="e">
        <f t="shared" si="7"/>
        <v>#REF!</v>
      </c>
      <c r="H93" s="43"/>
      <c r="K93" s="31" t="str">
        <f>"""GP"",""Ute Indian Tribe Membership Fund"",""aaa_contract_detail_sp"",""JRNENTRY"",""1579662"",""aaGLHdrID"",""1747551"",""aaGLDistID"",""15"",""aaGLAssignID"",""1"",""contract"",""3460 92 URHS FY2025"""</f>
        <v>"GP","Ute Indian Tribe Membership Fund","aaa_contract_detail_sp","JRNENTRY","1579662","aaGLHdrID","1747551","aaGLDistID","15","aaGLAssignID","1","contract","3460 92 URHS FY2025"</v>
      </c>
      <c r="L93" s="44">
        <v>45645</v>
      </c>
      <c r="M93" s="31">
        <v>1579662</v>
      </c>
      <c r="N93" s="31" t="str">
        <f>""</f>
        <v/>
      </c>
      <c r="O93" s="31" t="str">
        <f>""</f>
        <v/>
      </c>
      <c r="P93" s="31" t="str">
        <f>""</f>
        <v/>
      </c>
      <c r="Q93" s="45" t="str">
        <f>""</f>
        <v/>
      </c>
      <c r="R93" s="46">
        <v>3217.92</v>
      </c>
      <c r="S93" s="46">
        <v>0</v>
      </c>
      <c r="T93" s="47">
        <f t="shared" si="6"/>
        <v>3217.92</v>
      </c>
    </row>
    <row r="94" spans="1:20" s="31" customFormat="1" x14ac:dyDescent="0.25">
      <c r="A94" s="25" t="s">
        <v>25</v>
      </c>
      <c r="B94" s="42"/>
      <c r="C94" s="42"/>
      <c r="D94" s="25"/>
      <c r="E94" s="25"/>
      <c r="F94" s="42" t="e">
        <f t="shared" si="7"/>
        <v>#REF!</v>
      </c>
      <c r="G94" s="42" t="e">
        <f t="shared" si="7"/>
        <v>#REF!</v>
      </c>
      <c r="H94" s="43"/>
      <c r="K94" s="31" t="str">
        <f>"""GP"",""Ute Indian Tribe Membership Fund"",""aaa_contract_detail_sp"",""JRNENTRY"",""1579662"",""aaGLHdrID"",""1747551"",""aaGLDistID"",""16"",""aaGLAssignID"",""1"",""contract"",""3460 92 URHS FY2025"""</f>
        <v>"GP","Ute Indian Tribe Membership Fund","aaa_contract_detail_sp","JRNENTRY","1579662","aaGLHdrID","1747551","aaGLDistID","16","aaGLAssignID","1","contract","3460 92 URHS FY2025"</v>
      </c>
      <c r="L94" s="44">
        <v>45645</v>
      </c>
      <c r="M94" s="31">
        <v>1579662</v>
      </c>
      <c r="N94" s="31" t="str">
        <f>""</f>
        <v/>
      </c>
      <c r="O94" s="31" t="str">
        <f>""</f>
        <v/>
      </c>
      <c r="P94" s="31" t="str">
        <f>""</f>
        <v/>
      </c>
      <c r="Q94" s="45" t="str">
        <f>""</f>
        <v/>
      </c>
      <c r="R94" s="46">
        <v>524.96</v>
      </c>
      <c r="S94" s="46">
        <v>0</v>
      </c>
      <c r="T94" s="47">
        <f t="shared" si="6"/>
        <v>524.96</v>
      </c>
    </row>
    <row r="95" spans="1:20" s="31" customFormat="1" x14ac:dyDescent="0.25">
      <c r="A95" s="25" t="s">
        <v>25</v>
      </c>
      <c r="B95" s="42"/>
      <c r="C95" s="42"/>
      <c r="D95" s="25"/>
      <c r="E95" s="25"/>
      <c r="F95" s="42" t="e">
        <f t="shared" si="7"/>
        <v>#REF!</v>
      </c>
      <c r="G95" s="42" t="e">
        <f t="shared" si="7"/>
        <v>#REF!</v>
      </c>
      <c r="H95" s="43"/>
      <c r="K95" s="31" t="str">
        <f>"""GP"",""Ute Indian Tribe Membership Fund"",""aaa_contract_detail_sp"",""JRNENTRY"",""1579667"",""aaGLHdrID"",""1747556"",""aaGLDistID"",""16"",""aaGLAssignID"",""1"",""contract"",""3460 92 URHS FY2025"""</f>
        <v>"GP","Ute Indian Tribe Membership Fund","aaa_contract_detail_sp","JRNENTRY","1579667","aaGLHdrID","1747556","aaGLDistID","16","aaGLAssignID","1","contract","3460 92 URHS FY2025"</v>
      </c>
      <c r="L95" s="44">
        <v>45645</v>
      </c>
      <c r="M95" s="31">
        <v>1579667</v>
      </c>
      <c r="N95" s="31" t="str">
        <f>""</f>
        <v/>
      </c>
      <c r="O95" s="31" t="str">
        <f>""</f>
        <v/>
      </c>
      <c r="P95" s="31" t="str">
        <f>""</f>
        <v/>
      </c>
      <c r="Q95" s="45" t="str">
        <f>""</f>
        <v/>
      </c>
      <c r="R95" s="46">
        <v>3192.28</v>
      </c>
      <c r="S95" s="46">
        <v>0</v>
      </c>
      <c r="T95" s="47">
        <f t="shared" si="6"/>
        <v>3192.28</v>
      </c>
    </row>
    <row r="96" spans="1:20" s="31" customFormat="1" x14ac:dyDescent="0.25">
      <c r="A96" s="25" t="s">
        <v>25</v>
      </c>
      <c r="B96" s="42"/>
      <c r="C96" s="42"/>
      <c r="D96" s="25"/>
      <c r="E96" s="25"/>
      <c r="F96" s="42" t="e">
        <f t="shared" si="7"/>
        <v>#REF!</v>
      </c>
      <c r="G96" s="42" t="e">
        <f t="shared" si="7"/>
        <v>#REF!</v>
      </c>
      <c r="H96" s="43"/>
      <c r="K96" s="31" t="str">
        <f>"""GP"",""Ute Indian Tribe Membership Fund"",""aaa_contract_detail_sp"",""JRNENTRY"",""1579667"",""aaGLHdrID"",""1747556"",""aaGLDistID"",""17"",""aaGLAssignID"",""1"",""contract"",""3460 92 URHS FY2025"""</f>
        <v>"GP","Ute Indian Tribe Membership Fund","aaa_contract_detail_sp","JRNENTRY","1579667","aaGLHdrID","1747556","aaGLDistID","17","aaGLAssignID","1","contract","3460 92 URHS FY2025"</v>
      </c>
      <c r="L96" s="44">
        <v>45645</v>
      </c>
      <c r="M96" s="31">
        <v>1579667</v>
      </c>
      <c r="N96" s="31" t="str">
        <f>""</f>
        <v/>
      </c>
      <c r="O96" s="31" t="str">
        <f>""</f>
        <v/>
      </c>
      <c r="P96" s="31" t="str">
        <f>""</f>
        <v/>
      </c>
      <c r="Q96" s="45" t="str">
        <f>""</f>
        <v/>
      </c>
      <c r="R96" s="46">
        <v>736.68</v>
      </c>
      <c r="S96" s="46">
        <v>0</v>
      </c>
      <c r="T96" s="47">
        <f t="shared" si="6"/>
        <v>736.68</v>
      </c>
    </row>
    <row r="97" spans="1:20" s="31" customFormat="1" x14ac:dyDescent="0.25">
      <c r="A97" s="25" t="s">
        <v>25</v>
      </c>
      <c r="B97" s="42"/>
      <c r="C97" s="42"/>
      <c r="D97" s="25"/>
      <c r="E97" s="25"/>
      <c r="F97" s="42" t="e">
        <f t="shared" si="7"/>
        <v>#REF!</v>
      </c>
      <c r="G97" s="42" t="e">
        <f t="shared" si="7"/>
        <v>#REF!</v>
      </c>
      <c r="H97" s="43"/>
      <c r="K97" s="31" t="str">
        <f>"""GP"",""Ute Indian Tribe Membership Fund"",""aaa_contract_detail_sp"",""JRNENTRY"",""1579667"",""aaGLHdrID"",""1747556"",""aaGLDistID"",""18"",""aaGLAssignID"",""1"",""contract"",""3460 92 URHS FY2025"""</f>
        <v>"GP","Ute Indian Tribe Membership Fund","aaa_contract_detail_sp","JRNENTRY","1579667","aaGLHdrID","1747556","aaGLDistID","18","aaGLAssignID","1","contract","3460 92 URHS FY2025"</v>
      </c>
      <c r="L97" s="44">
        <v>45645</v>
      </c>
      <c r="M97" s="31">
        <v>1579667</v>
      </c>
      <c r="N97" s="31" t="str">
        <f>""</f>
        <v/>
      </c>
      <c r="O97" s="31" t="str">
        <f>""</f>
        <v/>
      </c>
      <c r="P97" s="31" t="str">
        <f>""</f>
        <v/>
      </c>
      <c r="Q97" s="45" t="str">
        <f>""</f>
        <v/>
      </c>
      <c r="R97" s="46">
        <v>519.52</v>
      </c>
      <c r="S97" s="46">
        <v>0</v>
      </c>
      <c r="T97" s="47">
        <f t="shared" si="6"/>
        <v>519.52</v>
      </c>
    </row>
    <row r="98" spans="1:20" s="31" customFormat="1" x14ac:dyDescent="0.25">
      <c r="A98" s="25" t="s">
        <v>25</v>
      </c>
      <c r="B98" s="42"/>
      <c r="C98" s="42"/>
      <c r="D98" s="25"/>
      <c r="E98" s="25"/>
      <c r="F98" s="42" t="e">
        <f t="shared" si="7"/>
        <v>#REF!</v>
      </c>
      <c r="G98" s="42" t="e">
        <f t="shared" si="7"/>
        <v>#REF!</v>
      </c>
      <c r="H98" s="43"/>
      <c r="K98" s="31" t="str">
        <f>"""GP"",""Ute Indian Tribe Membership Fund"",""aaa_contract_detail_sp"",""JRNENTRY"",""1579707"",""aaGLHdrID"",""1747596"",""aaGLDistID"",""14"",""aaGLAssignID"",""1"",""contract"",""3460 92 URHS FY2025"""</f>
        <v>"GP","Ute Indian Tribe Membership Fund","aaa_contract_detail_sp","JRNENTRY","1579707","aaGLHdrID","1747596","aaGLDistID","14","aaGLAssignID","1","contract","3460 92 URHS FY2025"</v>
      </c>
      <c r="L98" s="44">
        <v>45645</v>
      </c>
      <c r="M98" s="31">
        <v>1579707</v>
      </c>
      <c r="N98" s="31" t="str">
        <f>""</f>
        <v/>
      </c>
      <c r="O98" s="31" t="str">
        <f>""</f>
        <v/>
      </c>
      <c r="P98" s="31" t="str">
        <f>""</f>
        <v/>
      </c>
      <c r="Q98" s="45" t="str">
        <f>""</f>
        <v/>
      </c>
      <c r="R98" s="46">
        <v>2754.56</v>
      </c>
      <c r="S98" s="46">
        <v>0</v>
      </c>
      <c r="T98" s="47">
        <f t="shared" si="6"/>
        <v>2754.56</v>
      </c>
    </row>
    <row r="99" spans="1:20" s="31" customFormat="1" x14ac:dyDescent="0.25">
      <c r="A99" s="25" t="s">
        <v>25</v>
      </c>
      <c r="B99" s="42"/>
      <c r="C99" s="42"/>
      <c r="D99" s="25"/>
      <c r="E99" s="25"/>
      <c r="F99" s="42" t="e">
        <f t="shared" si="7"/>
        <v>#REF!</v>
      </c>
      <c r="G99" s="42" t="e">
        <f t="shared" si="7"/>
        <v>#REF!</v>
      </c>
      <c r="H99" s="43"/>
      <c r="K99" s="31" t="str">
        <f>"""GP"",""Ute Indian Tribe Membership Fund"",""aaa_contract_detail_sp"",""JRNENTRY"",""1579707"",""aaGLHdrID"",""1747596"",""aaGLDistID"",""15"",""aaGLAssignID"",""1"",""contract"",""3460 92 URHS FY2025"""</f>
        <v>"GP","Ute Indian Tribe Membership Fund","aaa_contract_detail_sp","JRNENTRY","1579707","aaGLHdrID","1747596","aaGLDistID","15","aaGLAssignID","1","contract","3460 92 URHS FY2025"</v>
      </c>
      <c r="L99" s="44">
        <v>45645</v>
      </c>
      <c r="M99" s="31">
        <v>1579707</v>
      </c>
      <c r="N99" s="31" t="str">
        <f>""</f>
        <v/>
      </c>
      <c r="O99" s="31" t="str">
        <f>""</f>
        <v/>
      </c>
      <c r="P99" s="31" t="str">
        <f>""</f>
        <v/>
      </c>
      <c r="Q99" s="45" t="str">
        <f>""</f>
        <v/>
      </c>
      <c r="R99" s="46">
        <v>448.8</v>
      </c>
      <c r="S99" s="46">
        <v>0</v>
      </c>
      <c r="T99" s="47">
        <f t="shared" si="6"/>
        <v>448.8</v>
      </c>
    </row>
    <row r="100" spans="1:20" s="31" customFormat="1" x14ac:dyDescent="0.25">
      <c r="A100" s="25" t="s">
        <v>25</v>
      </c>
      <c r="B100" s="42"/>
      <c r="C100" s="42"/>
      <c r="D100" s="25"/>
      <c r="E100" s="25"/>
      <c r="F100" s="42" t="e">
        <f t="shared" si="7"/>
        <v>#REF!</v>
      </c>
      <c r="G100" s="42" t="e">
        <f t="shared" si="7"/>
        <v>#REF!</v>
      </c>
      <c r="H100" s="43"/>
      <c r="K100" s="31" t="str">
        <f>"""GP"",""Ute Indian Tribe Membership Fund"",""aaa_contract_detail_sp"",""JRNENTRY"",""1579708"",""aaGLHdrID"",""1747597"",""aaGLDistID"",""13"",""aaGLAssignID"",""1"",""contract"",""3460 92 URHS FY2025"""</f>
        <v>"GP","Ute Indian Tribe Membership Fund","aaa_contract_detail_sp","JRNENTRY","1579708","aaGLHdrID","1747597","aaGLDistID","13","aaGLAssignID","1","contract","3460 92 URHS FY2025"</v>
      </c>
      <c r="L100" s="44">
        <v>45645</v>
      </c>
      <c r="M100" s="31">
        <v>1579708</v>
      </c>
      <c r="N100" s="31" t="str">
        <f>""</f>
        <v/>
      </c>
      <c r="O100" s="31" t="str">
        <f>""</f>
        <v/>
      </c>
      <c r="P100" s="31" t="str">
        <f>""</f>
        <v/>
      </c>
      <c r="Q100" s="45" t="str">
        <f>""</f>
        <v/>
      </c>
      <c r="R100" s="46">
        <v>2847.36</v>
      </c>
      <c r="S100" s="46">
        <v>0</v>
      </c>
      <c r="T100" s="47">
        <f t="shared" si="6"/>
        <v>2847.36</v>
      </c>
    </row>
    <row r="101" spans="1:20" s="31" customFormat="1" x14ac:dyDescent="0.25">
      <c r="A101" s="25" t="s">
        <v>25</v>
      </c>
      <c r="B101" s="42"/>
      <c r="C101" s="42"/>
      <c r="D101" s="25"/>
      <c r="E101" s="25"/>
      <c r="F101" s="42" t="e">
        <f t="shared" si="7"/>
        <v>#REF!</v>
      </c>
      <c r="G101" s="42" t="e">
        <f t="shared" si="7"/>
        <v>#REF!</v>
      </c>
      <c r="H101" s="43"/>
      <c r="K101" s="31" t="str">
        <f>"""GP"",""Ute Indian Tribe Membership Fund"",""aaa_contract_detail_sp"",""JRNENTRY"",""1579708"",""aaGLHdrID"",""1747597"",""aaGLDistID"",""14"",""aaGLAssignID"",""1"",""contract"",""3460 92 URHS FY2025"""</f>
        <v>"GP","Ute Indian Tribe Membership Fund","aaa_contract_detail_sp","JRNENTRY","1579708","aaGLHdrID","1747597","aaGLDistID","14","aaGLAssignID","1","contract","3460 92 URHS FY2025"</v>
      </c>
      <c r="L101" s="44">
        <v>45645</v>
      </c>
      <c r="M101" s="31">
        <v>1579708</v>
      </c>
      <c r="N101" s="31" t="str">
        <f>""</f>
        <v/>
      </c>
      <c r="O101" s="31" t="str">
        <f>""</f>
        <v/>
      </c>
      <c r="P101" s="31" t="str">
        <f>""</f>
        <v/>
      </c>
      <c r="Q101" s="45" t="str">
        <f>""</f>
        <v/>
      </c>
      <c r="R101" s="46">
        <v>465.12</v>
      </c>
      <c r="S101" s="46">
        <v>0</v>
      </c>
      <c r="T101" s="47">
        <f t="shared" si="6"/>
        <v>465.12</v>
      </c>
    </row>
    <row r="102" spans="1:20" s="31" customFormat="1" x14ac:dyDescent="0.25">
      <c r="A102" s="25" t="s">
        <v>25</v>
      </c>
      <c r="B102" s="42"/>
      <c r="C102" s="42"/>
      <c r="D102" s="25"/>
      <c r="E102" s="25"/>
      <c r="F102" s="42" t="e">
        <f t="shared" si="7"/>
        <v>#REF!</v>
      </c>
      <c r="G102" s="42" t="e">
        <f t="shared" si="7"/>
        <v>#REF!</v>
      </c>
      <c r="H102" s="43"/>
      <c r="K102" s="31" t="str">
        <f>"""GP"",""Ute Indian Tribe Membership Fund"",""aaa_contract_detail_sp"",""JRNENTRY"",""1579799"",""aaGLHdrID"",""1747688"",""aaGLDistID"",""13"",""aaGLAssignID"",""1"",""contract"",""3460 92 URHS FY2025"""</f>
        <v>"GP","Ute Indian Tribe Membership Fund","aaa_contract_detail_sp","JRNENTRY","1579799","aaGLHdrID","1747688","aaGLDistID","13","aaGLAssignID","1","contract","3460 92 URHS FY2025"</v>
      </c>
      <c r="L102" s="44">
        <v>45645</v>
      </c>
      <c r="M102" s="31">
        <v>1579799</v>
      </c>
      <c r="N102" s="31" t="str">
        <f>""</f>
        <v/>
      </c>
      <c r="O102" s="31" t="str">
        <f>""</f>
        <v/>
      </c>
      <c r="P102" s="31" t="str">
        <f>""</f>
        <v/>
      </c>
      <c r="Q102" s="45" t="str">
        <f>""</f>
        <v/>
      </c>
      <c r="R102" s="46">
        <v>1630.8</v>
      </c>
      <c r="S102" s="46">
        <v>0</v>
      </c>
      <c r="T102" s="47">
        <f t="shared" si="6"/>
        <v>1630.8</v>
      </c>
    </row>
    <row r="103" spans="1:20" s="31" customFormat="1" x14ac:dyDescent="0.25">
      <c r="A103" s="25" t="s">
        <v>25</v>
      </c>
      <c r="B103" s="42"/>
      <c r="C103" s="42"/>
      <c r="D103" s="25"/>
      <c r="E103" s="25"/>
      <c r="F103" s="42" t="e">
        <f t="shared" si="7"/>
        <v>#REF!</v>
      </c>
      <c r="G103" s="42" t="e">
        <f t="shared" si="7"/>
        <v>#REF!</v>
      </c>
      <c r="H103" s="43"/>
      <c r="K103" s="31" t="str">
        <f>"""GP"",""Ute Indian Tribe Membership Fund"",""aaa_contract_detail_sp"",""JRNENTRY"",""1579799"",""aaGLHdrID"",""1747688"",""aaGLDistID"",""14"",""aaGLAssignID"",""1"",""contract"",""3460 92 URHS FY2025"""</f>
        <v>"GP","Ute Indian Tribe Membership Fund","aaa_contract_detail_sp","JRNENTRY","1579799","aaGLHdrID","1747688","aaGLDistID","14","aaGLAssignID","1","contract","3460 92 URHS FY2025"</v>
      </c>
      <c r="L103" s="44">
        <v>45645</v>
      </c>
      <c r="M103" s="31">
        <v>1579799</v>
      </c>
      <c r="N103" s="31" t="str">
        <f>""</f>
        <v/>
      </c>
      <c r="O103" s="31" t="str">
        <f>""</f>
        <v/>
      </c>
      <c r="P103" s="31" t="str">
        <f>""</f>
        <v/>
      </c>
      <c r="Q103" s="45" t="str">
        <f>""</f>
        <v/>
      </c>
      <c r="R103" s="46">
        <v>978.48</v>
      </c>
      <c r="S103" s="46">
        <v>0</v>
      </c>
      <c r="T103" s="47">
        <f t="shared" si="6"/>
        <v>978.48</v>
      </c>
    </row>
    <row r="104" spans="1:20" s="31" customFormat="1" x14ac:dyDescent="0.25">
      <c r="A104" s="25" t="s">
        <v>25</v>
      </c>
      <c r="B104" s="42"/>
      <c r="C104" s="42"/>
      <c r="D104" s="25"/>
      <c r="E104" s="25"/>
      <c r="F104" s="42" t="e">
        <f t="shared" si="7"/>
        <v>#REF!</v>
      </c>
      <c r="G104" s="42" t="e">
        <f t="shared" si="7"/>
        <v>#REF!</v>
      </c>
      <c r="H104" s="43"/>
      <c r="K104" s="31" t="str">
        <f>"""GP"",""Ute Indian Tribe Membership Fund"",""aaa_contract_detail_sp"",""JRNENTRY"",""1579799"",""aaGLHdrID"",""1747688"",""aaGLDistID"",""15"",""aaGLAssignID"",""1"",""contract"",""3460 92 URHS FY2025"""</f>
        <v>"GP","Ute Indian Tribe Membership Fund","aaa_contract_detail_sp","JRNENTRY","1579799","aaGLHdrID","1747688","aaGLDistID","15","aaGLAssignID","1","contract","3460 92 URHS FY2025"</v>
      </c>
      <c r="L104" s="44">
        <v>45645</v>
      </c>
      <c r="M104" s="31">
        <v>1579799</v>
      </c>
      <c r="N104" s="31" t="str">
        <f>""</f>
        <v/>
      </c>
      <c r="O104" s="31" t="str">
        <f>""</f>
        <v/>
      </c>
      <c r="P104" s="31" t="str">
        <f>""</f>
        <v/>
      </c>
      <c r="Q104" s="45" t="str">
        <f>""</f>
        <v/>
      </c>
      <c r="R104" s="46">
        <v>427.04</v>
      </c>
      <c r="S104" s="46">
        <v>0</v>
      </c>
      <c r="T104" s="47">
        <f t="shared" si="6"/>
        <v>427.04</v>
      </c>
    </row>
    <row r="105" spans="1:20" s="31" customFormat="1" x14ac:dyDescent="0.25">
      <c r="A105" s="25" t="s">
        <v>25</v>
      </c>
      <c r="B105" s="42"/>
      <c r="C105" s="42"/>
      <c r="D105" s="25"/>
      <c r="E105" s="25"/>
      <c r="F105" s="42" t="e">
        <f t="shared" si="7"/>
        <v>#REF!</v>
      </c>
      <c r="G105" s="42" t="e">
        <f t="shared" si="7"/>
        <v>#REF!</v>
      </c>
      <c r="H105" s="43"/>
      <c r="K105" s="31" t="str">
        <f>"""GP"",""Ute Indian Tribe Membership Fund"",""aaa_contract_detail_sp"",""JRNENTRY"",""1579879"",""aaGLHdrID"",""1747768"",""aaGLDistID"",""12"",""aaGLAssignID"",""1"",""contract"",""3460 92 URHS FY2025"""</f>
        <v>"GP","Ute Indian Tribe Membership Fund","aaa_contract_detail_sp","JRNENTRY","1579879","aaGLHdrID","1747768","aaGLDistID","12","aaGLAssignID","1","contract","3460 92 URHS FY2025"</v>
      </c>
      <c r="L105" s="44">
        <v>45645</v>
      </c>
      <c r="M105" s="31">
        <v>1579879</v>
      </c>
      <c r="N105" s="31" t="str">
        <f>""</f>
        <v/>
      </c>
      <c r="O105" s="31" t="str">
        <f>""</f>
        <v/>
      </c>
      <c r="P105" s="31" t="str">
        <f>""</f>
        <v/>
      </c>
      <c r="Q105" s="45" t="str">
        <f>""</f>
        <v/>
      </c>
      <c r="R105" s="46">
        <v>1511.04</v>
      </c>
      <c r="S105" s="46">
        <v>0</v>
      </c>
      <c r="T105" s="47">
        <f t="shared" si="6"/>
        <v>1511.04</v>
      </c>
    </row>
    <row r="106" spans="1:20" s="31" customFormat="1" x14ac:dyDescent="0.25">
      <c r="A106" s="25" t="s">
        <v>25</v>
      </c>
      <c r="B106" s="42"/>
      <c r="C106" s="42"/>
      <c r="D106" s="25"/>
      <c r="E106" s="25"/>
      <c r="F106" s="42" t="e">
        <f t="shared" si="7"/>
        <v>#REF!</v>
      </c>
      <c r="G106" s="42" t="e">
        <f t="shared" si="7"/>
        <v>#REF!</v>
      </c>
      <c r="H106" s="43"/>
      <c r="K106" s="31" t="str">
        <f>"""GP"",""Ute Indian Tribe Membership Fund"",""aaa_contract_detail_sp"",""JRNENTRY"",""1579879"",""aaGLHdrID"",""1747768"",""aaGLDistID"",""13"",""aaGLAssignID"",""1"",""contract"",""3460 92 URHS FY2025"""</f>
        <v>"GP","Ute Indian Tribe Membership Fund","aaa_contract_detail_sp","JRNENTRY","1579879","aaGLHdrID","1747768","aaGLDistID","13","aaGLAssignID","1","contract","3460 92 URHS FY2025"</v>
      </c>
      <c r="L106" s="44">
        <v>45645</v>
      </c>
      <c r="M106" s="31">
        <v>1579879</v>
      </c>
      <c r="N106" s="31" t="str">
        <f>""</f>
        <v/>
      </c>
      <c r="O106" s="31" t="str">
        <f>""</f>
        <v/>
      </c>
      <c r="P106" s="31" t="str">
        <f>""</f>
        <v/>
      </c>
      <c r="Q106" s="45" t="str">
        <f>""</f>
        <v/>
      </c>
      <c r="R106" s="46">
        <v>236.04</v>
      </c>
      <c r="S106" s="46">
        <v>0</v>
      </c>
      <c r="T106" s="47">
        <f t="shared" si="6"/>
        <v>236.04</v>
      </c>
    </row>
    <row r="107" spans="1:20" s="31" customFormat="1" x14ac:dyDescent="0.25">
      <c r="A107" s="25" t="s">
        <v>25</v>
      </c>
      <c r="B107" s="42"/>
      <c r="C107" s="42"/>
      <c r="D107" s="25"/>
      <c r="E107" s="25"/>
      <c r="F107" s="42" t="e">
        <f t="shared" si="7"/>
        <v>#REF!</v>
      </c>
      <c r="G107" s="42" t="e">
        <f t="shared" si="7"/>
        <v>#REF!</v>
      </c>
      <c r="H107" s="43"/>
      <c r="K107" s="31" t="str">
        <f>"""GP"",""Ute Indian Tribe Membership Fund"",""aaa_contract_detail_sp"",""JRNENTRY"",""1579883"",""aaGLHdrID"",""1747772"",""aaGLDistID"",""15"",""aaGLAssignID"",""1"",""contract"",""3460 92 URHS FY2025"""</f>
        <v>"GP","Ute Indian Tribe Membership Fund","aaa_contract_detail_sp","JRNENTRY","1579883","aaGLHdrID","1747772","aaGLDistID","15","aaGLAssignID","1","contract","3460 92 URHS FY2025"</v>
      </c>
      <c r="L107" s="44">
        <v>45645</v>
      </c>
      <c r="M107" s="31">
        <v>1579883</v>
      </c>
      <c r="N107" s="31" t="str">
        <f>""</f>
        <v/>
      </c>
      <c r="O107" s="31" t="str">
        <f>""</f>
        <v/>
      </c>
      <c r="P107" s="31" t="str">
        <f>""</f>
        <v/>
      </c>
      <c r="Q107" s="45" t="str">
        <f>""</f>
        <v/>
      </c>
      <c r="R107" s="46">
        <v>1630.72</v>
      </c>
      <c r="S107" s="46">
        <v>0</v>
      </c>
      <c r="T107" s="47">
        <f t="shared" si="6"/>
        <v>1630.72</v>
      </c>
    </row>
    <row r="108" spans="1:20" s="31" customFormat="1" x14ac:dyDescent="0.25">
      <c r="A108" s="25" t="s">
        <v>25</v>
      </c>
      <c r="B108" s="42"/>
      <c r="C108" s="42"/>
      <c r="D108" s="25"/>
      <c r="E108" s="25"/>
      <c r="F108" s="42" t="e">
        <f t="shared" si="7"/>
        <v>#REF!</v>
      </c>
      <c r="G108" s="42" t="e">
        <f t="shared" si="7"/>
        <v>#REF!</v>
      </c>
      <c r="H108" s="43"/>
      <c r="K108" s="31" t="str">
        <f>"""GP"",""Ute Indian Tribe Membership Fund"",""aaa_contract_detail_sp"",""JRNENTRY"",""1579883"",""aaGLHdrID"",""1747772"",""aaGLDistID"",""16"",""aaGLAssignID"",""1"",""contract"",""3460 92 URHS FY2025"""</f>
        <v>"GP","Ute Indian Tribe Membership Fund","aaa_contract_detail_sp","JRNENTRY","1579883","aaGLHdrID","1747772","aaGLDistID","16","aaGLAssignID","1","contract","3460 92 URHS FY2025"</v>
      </c>
      <c r="L108" s="44">
        <v>45645</v>
      </c>
      <c r="M108" s="31">
        <v>1579883</v>
      </c>
      <c r="N108" s="31" t="str">
        <f>""</f>
        <v/>
      </c>
      <c r="O108" s="31" t="str">
        <f>""</f>
        <v/>
      </c>
      <c r="P108" s="31" t="str">
        <f>""</f>
        <v/>
      </c>
      <c r="Q108" s="45" t="str">
        <f>""</f>
        <v/>
      </c>
      <c r="R108" s="46">
        <v>255.68</v>
      </c>
      <c r="S108" s="46">
        <v>0</v>
      </c>
      <c r="T108" s="47">
        <f t="shared" si="6"/>
        <v>255.68</v>
      </c>
    </row>
    <row r="109" spans="1:20" s="31" customFormat="1" x14ac:dyDescent="0.25">
      <c r="A109" s="25" t="s">
        <v>25</v>
      </c>
      <c r="B109" s="42"/>
      <c r="C109" s="42"/>
      <c r="D109" s="25"/>
      <c r="E109" s="25"/>
      <c r="F109" s="42" t="e">
        <f t="shared" si="7"/>
        <v>#REF!</v>
      </c>
      <c r="G109" s="42" t="e">
        <f t="shared" si="7"/>
        <v>#REF!</v>
      </c>
      <c r="H109" s="43"/>
      <c r="K109" s="31" t="str">
        <f>"""GP"",""Ute Indian Tribe Membership Fund"",""aaa_contract_detail_sp"",""JRNENTRY"",""1580575"",""aaGLHdrID"",""1748314"",""aaGLDistID"",""15"",""aaGLAssignID"",""1"",""contract"",""3460 92 URHS FY2025"""</f>
        <v>"GP","Ute Indian Tribe Membership Fund","aaa_contract_detail_sp","JRNENTRY","1580575","aaGLHdrID","1748314","aaGLDistID","15","aaGLAssignID","1","contract","3460 92 URHS FY2025"</v>
      </c>
      <c r="L109" s="44">
        <v>45656</v>
      </c>
      <c r="M109" s="31">
        <v>1580575</v>
      </c>
      <c r="N109" s="31" t="str">
        <f>""</f>
        <v/>
      </c>
      <c r="O109" s="31" t="str">
        <f>""</f>
        <v/>
      </c>
      <c r="P109" s="31" t="str">
        <f>""</f>
        <v/>
      </c>
      <c r="Q109" s="45" t="str">
        <f>""</f>
        <v/>
      </c>
      <c r="R109" s="46">
        <v>2386.56</v>
      </c>
      <c r="S109" s="46">
        <v>0</v>
      </c>
      <c r="T109" s="47">
        <f t="shared" si="6"/>
        <v>2386.56</v>
      </c>
    </row>
    <row r="110" spans="1:20" s="31" customFormat="1" x14ac:dyDescent="0.25">
      <c r="A110" s="25" t="s">
        <v>25</v>
      </c>
      <c r="B110" s="42"/>
      <c r="C110" s="42"/>
      <c r="D110" s="25"/>
      <c r="E110" s="25"/>
      <c r="F110" s="42" t="e">
        <f t="shared" si="7"/>
        <v>#REF!</v>
      </c>
      <c r="G110" s="42" t="e">
        <f t="shared" si="7"/>
        <v>#REF!</v>
      </c>
      <c r="H110" s="43"/>
      <c r="K110" s="31" t="str">
        <f>"""GP"",""Ute Indian Tribe Membership Fund"",""aaa_contract_detail_sp"",""JRNENTRY"",""1580641"",""aaGLHdrID"",""1748380"",""aaGLDistID"",""16"",""aaGLAssignID"",""1"",""contract"",""3460 92 URHS FY2025"""</f>
        <v>"GP","Ute Indian Tribe Membership Fund","aaa_contract_detail_sp","JRNENTRY","1580641","aaGLHdrID","1748380","aaGLDistID","16","aaGLAssignID","1","contract","3460 92 URHS FY2025"</v>
      </c>
      <c r="L110" s="44">
        <v>45656</v>
      </c>
      <c r="M110" s="31">
        <v>1580641</v>
      </c>
      <c r="N110" s="31" t="str">
        <f>""</f>
        <v/>
      </c>
      <c r="O110" s="31" t="str">
        <f>""</f>
        <v/>
      </c>
      <c r="P110" s="31" t="str">
        <f>""</f>
        <v/>
      </c>
      <c r="Q110" s="45" t="str">
        <f>""</f>
        <v/>
      </c>
      <c r="R110" s="46">
        <v>2966.4</v>
      </c>
      <c r="S110" s="46">
        <v>0</v>
      </c>
      <c r="T110" s="47">
        <f t="shared" si="6"/>
        <v>2966.4</v>
      </c>
    </row>
    <row r="111" spans="1:20" s="31" customFormat="1" x14ac:dyDescent="0.25">
      <c r="A111" s="25" t="s">
        <v>25</v>
      </c>
      <c r="B111" s="42"/>
      <c r="C111" s="42"/>
      <c r="D111" s="25"/>
      <c r="E111" s="25"/>
      <c r="F111" s="42" t="e">
        <f t="shared" si="7"/>
        <v>#REF!</v>
      </c>
      <c r="G111" s="42" t="e">
        <f t="shared" si="7"/>
        <v>#REF!</v>
      </c>
      <c r="H111" s="43"/>
      <c r="K111" s="31" t="str">
        <f>"""GP"",""Ute Indian Tribe Membership Fund"",""aaa_contract_detail_sp"",""JRNENTRY"",""1580641"",""aaGLHdrID"",""1748380"",""aaGLDistID"",""17"",""aaGLAssignID"",""1"",""contract"",""3460 92 URHS FY2025"""</f>
        <v>"GP","Ute Indian Tribe Membership Fund","aaa_contract_detail_sp","JRNENTRY","1580641","aaGLHdrID","1748380","aaGLDistID","17","aaGLAssignID","1","contract","3460 92 URHS FY2025"</v>
      </c>
      <c r="L111" s="44">
        <v>45656</v>
      </c>
      <c r="M111" s="31">
        <v>1580641</v>
      </c>
      <c r="N111" s="31" t="str">
        <f>""</f>
        <v/>
      </c>
      <c r="O111" s="31" t="str">
        <f>""</f>
        <v/>
      </c>
      <c r="P111" s="31" t="str">
        <f>""</f>
        <v/>
      </c>
      <c r="Q111" s="45" t="str">
        <f>""</f>
        <v/>
      </c>
      <c r="R111" s="46">
        <v>200</v>
      </c>
      <c r="S111" s="46">
        <v>0</v>
      </c>
      <c r="T111" s="47">
        <f t="shared" si="6"/>
        <v>200</v>
      </c>
    </row>
    <row r="112" spans="1:20" s="31" customFormat="1" x14ac:dyDescent="0.25">
      <c r="A112" s="25" t="s">
        <v>25</v>
      </c>
      <c r="B112" s="42"/>
      <c r="C112" s="42"/>
      <c r="D112" s="25"/>
      <c r="E112" s="25"/>
      <c r="F112" s="42" t="e">
        <f t="shared" si="7"/>
        <v>#REF!</v>
      </c>
      <c r="G112" s="42" t="e">
        <f t="shared" si="7"/>
        <v>#REF!</v>
      </c>
      <c r="H112" s="43"/>
      <c r="K112" s="31" t="str">
        <f>"""GP"",""Ute Indian Tribe Membership Fund"",""aaa_contract_detail_sp"",""JRNENTRY"",""1580732"",""aaGLHdrID"",""1748471"",""aaGLDistID"",""15"",""aaGLAssignID"",""1"",""contract"",""3460 92 URHS FY2025"""</f>
        <v>"GP","Ute Indian Tribe Membership Fund","aaa_contract_detail_sp","JRNENTRY","1580732","aaGLHdrID","1748471","aaGLDistID","15","aaGLAssignID","1","contract","3460 92 URHS FY2025"</v>
      </c>
      <c r="L112" s="44">
        <v>45656</v>
      </c>
      <c r="M112" s="31">
        <v>1580732</v>
      </c>
      <c r="N112" s="31" t="str">
        <f>""</f>
        <v/>
      </c>
      <c r="O112" s="31" t="str">
        <f>""</f>
        <v/>
      </c>
      <c r="P112" s="31" t="str">
        <f>""</f>
        <v/>
      </c>
      <c r="Q112" s="45" t="str">
        <f>""</f>
        <v/>
      </c>
      <c r="R112" s="46">
        <v>3217.92</v>
      </c>
      <c r="S112" s="46">
        <v>0</v>
      </c>
      <c r="T112" s="47">
        <f t="shared" si="6"/>
        <v>3217.92</v>
      </c>
    </row>
    <row r="113" spans="1:20" s="31" customFormat="1" x14ac:dyDescent="0.25">
      <c r="A113" s="25" t="s">
        <v>25</v>
      </c>
      <c r="B113" s="42"/>
      <c r="C113" s="42"/>
      <c r="D113" s="25"/>
      <c r="E113" s="25"/>
      <c r="F113" s="42" t="e">
        <f t="shared" si="7"/>
        <v>#REF!</v>
      </c>
      <c r="G113" s="42" t="e">
        <f t="shared" si="7"/>
        <v>#REF!</v>
      </c>
      <c r="H113" s="43"/>
      <c r="K113" s="31" t="str">
        <f>"""GP"",""Ute Indian Tribe Membership Fund"",""aaa_contract_detail_sp"",""JRNENTRY"",""1580732"",""aaGLHdrID"",""1748471"",""aaGLDistID"",""16"",""aaGLAssignID"",""1"",""contract"",""3460 92 URHS FY2025"""</f>
        <v>"GP","Ute Indian Tribe Membership Fund","aaa_contract_detail_sp","JRNENTRY","1580732","aaGLHdrID","1748471","aaGLDistID","16","aaGLAssignID","1","contract","3460 92 URHS FY2025"</v>
      </c>
      <c r="L113" s="44">
        <v>45656</v>
      </c>
      <c r="M113" s="31">
        <v>1580732</v>
      </c>
      <c r="N113" s="31" t="str">
        <f>""</f>
        <v/>
      </c>
      <c r="O113" s="31" t="str">
        <f>""</f>
        <v/>
      </c>
      <c r="P113" s="31" t="str">
        <f>""</f>
        <v/>
      </c>
      <c r="Q113" s="45" t="str">
        <f>""</f>
        <v/>
      </c>
      <c r="R113" s="46">
        <v>200</v>
      </c>
      <c r="S113" s="46">
        <v>0</v>
      </c>
      <c r="T113" s="47">
        <f t="shared" si="6"/>
        <v>200</v>
      </c>
    </row>
    <row r="114" spans="1:20" s="31" customFormat="1" x14ac:dyDescent="0.25">
      <c r="A114" s="25" t="s">
        <v>25</v>
      </c>
      <c r="B114" s="42"/>
      <c r="C114" s="42"/>
      <c r="D114" s="25"/>
      <c r="E114" s="25"/>
      <c r="F114" s="42" t="e">
        <f t="shared" si="7"/>
        <v>#REF!</v>
      </c>
      <c r="G114" s="42" t="e">
        <f t="shared" si="7"/>
        <v>#REF!</v>
      </c>
      <c r="H114" s="43"/>
      <c r="K114" s="31" t="str">
        <f>"""GP"",""Ute Indian Tribe Membership Fund"",""aaa_contract_detail_sp"",""JRNENTRY"",""1580737"",""aaGLHdrID"",""1748476"",""aaGLDistID"",""16"",""aaGLAssignID"",""1"",""contract"",""3460 92 URHS FY2025"""</f>
        <v>"GP","Ute Indian Tribe Membership Fund","aaa_contract_detail_sp","JRNENTRY","1580737","aaGLHdrID","1748476","aaGLDistID","16","aaGLAssignID","1","contract","3460 92 URHS FY2025"</v>
      </c>
      <c r="L114" s="44">
        <v>45656</v>
      </c>
      <c r="M114" s="31">
        <v>1580737</v>
      </c>
      <c r="N114" s="31" t="str">
        <f>""</f>
        <v/>
      </c>
      <c r="O114" s="31" t="str">
        <f>""</f>
        <v/>
      </c>
      <c r="P114" s="31" t="str">
        <f>""</f>
        <v/>
      </c>
      <c r="Q114" s="45" t="str">
        <f>""</f>
        <v/>
      </c>
      <c r="R114" s="46">
        <v>3928.96</v>
      </c>
      <c r="S114" s="46">
        <v>0</v>
      </c>
      <c r="T114" s="47">
        <f t="shared" si="6"/>
        <v>3928.96</v>
      </c>
    </row>
    <row r="115" spans="1:20" s="31" customFormat="1" x14ac:dyDescent="0.25">
      <c r="A115" s="25" t="s">
        <v>25</v>
      </c>
      <c r="B115" s="42"/>
      <c r="C115" s="42"/>
      <c r="D115" s="25"/>
      <c r="E115" s="25"/>
      <c r="F115" s="42" t="e">
        <f t="shared" si="7"/>
        <v>#REF!</v>
      </c>
      <c r="G115" s="42" t="e">
        <f t="shared" si="7"/>
        <v>#REF!</v>
      </c>
      <c r="H115" s="43"/>
      <c r="K115" s="31" t="str">
        <f>"""GP"",""Ute Indian Tribe Membership Fund"",""aaa_contract_detail_sp"",""JRNENTRY"",""1580777"",""aaGLHdrID"",""1748516"",""aaGLDistID"",""14"",""aaGLAssignID"",""1"",""contract"",""3460 92 URHS FY2025"""</f>
        <v>"GP","Ute Indian Tribe Membership Fund","aaa_contract_detail_sp","JRNENTRY","1580777","aaGLHdrID","1748516","aaGLDistID","14","aaGLAssignID","1","contract","3460 92 URHS FY2025"</v>
      </c>
      <c r="L115" s="44">
        <v>45656</v>
      </c>
      <c r="M115" s="31">
        <v>1580777</v>
      </c>
      <c r="N115" s="31" t="str">
        <f>""</f>
        <v/>
      </c>
      <c r="O115" s="31" t="str">
        <f>""</f>
        <v/>
      </c>
      <c r="P115" s="31" t="str">
        <f>""</f>
        <v/>
      </c>
      <c r="Q115" s="45" t="str">
        <f>""</f>
        <v/>
      </c>
      <c r="R115" s="46">
        <v>2754.56</v>
      </c>
      <c r="S115" s="46">
        <v>0</v>
      </c>
      <c r="T115" s="47">
        <f t="shared" si="6"/>
        <v>2754.56</v>
      </c>
    </row>
    <row r="116" spans="1:20" s="31" customFormat="1" x14ac:dyDescent="0.25">
      <c r="A116" s="25" t="s">
        <v>25</v>
      </c>
      <c r="B116" s="42"/>
      <c r="C116" s="42"/>
      <c r="D116" s="25"/>
      <c r="E116" s="25"/>
      <c r="F116" s="42" t="e">
        <f t="shared" si="7"/>
        <v>#REF!</v>
      </c>
      <c r="G116" s="42" t="e">
        <f t="shared" si="7"/>
        <v>#REF!</v>
      </c>
      <c r="H116" s="43"/>
      <c r="K116" s="31" t="str">
        <f>"""GP"",""Ute Indian Tribe Membership Fund"",""aaa_contract_detail_sp"",""JRNENTRY"",""1580778"",""aaGLHdrID"",""1748517"",""aaGLDistID"",""13"",""aaGLAssignID"",""1"",""contract"",""3460 92 URHS FY2025"""</f>
        <v>"GP","Ute Indian Tribe Membership Fund","aaa_contract_detail_sp","JRNENTRY","1580778","aaGLHdrID","1748517","aaGLDistID","13","aaGLAssignID","1","contract","3460 92 URHS FY2025"</v>
      </c>
      <c r="L116" s="44">
        <v>45656</v>
      </c>
      <c r="M116" s="31">
        <v>1580778</v>
      </c>
      <c r="N116" s="31" t="str">
        <f>""</f>
        <v/>
      </c>
      <c r="O116" s="31" t="str">
        <f>""</f>
        <v/>
      </c>
      <c r="P116" s="31" t="str">
        <f>""</f>
        <v/>
      </c>
      <c r="Q116" s="45" t="str">
        <f>""</f>
        <v/>
      </c>
      <c r="R116" s="46">
        <v>2847.36</v>
      </c>
      <c r="S116" s="46">
        <v>0</v>
      </c>
      <c r="T116" s="47">
        <f t="shared" si="6"/>
        <v>2847.36</v>
      </c>
    </row>
    <row r="117" spans="1:20" s="31" customFormat="1" x14ac:dyDescent="0.25">
      <c r="A117" s="25" t="s">
        <v>25</v>
      </c>
      <c r="B117" s="42"/>
      <c r="C117" s="42"/>
      <c r="D117" s="25"/>
      <c r="E117" s="25"/>
      <c r="F117" s="42" t="e">
        <f t="shared" si="7"/>
        <v>#REF!</v>
      </c>
      <c r="G117" s="42" t="e">
        <f t="shared" si="7"/>
        <v>#REF!</v>
      </c>
      <c r="H117" s="43"/>
      <c r="K117" s="31" t="str">
        <f>"""GP"",""Ute Indian Tribe Membership Fund"",""aaa_contract_detail_sp"",""JRNENTRY"",""1580778"",""aaGLHdrID"",""1748517"",""aaGLDistID"",""14"",""aaGLAssignID"",""1"",""contract"",""3460 92 URHS FY2025"""</f>
        <v>"GP","Ute Indian Tribe Membership Fund","aaa_contract_detail_sp","JRNENTRY","1580778","aaGLHdrID","1748517","aaGLDistID","14","aaGLAssignID","1","contract","3460 92 URHS FY2025"</v>
      </c>
      <c r="L117" s="44">
        <v>45656</v>
      </c>
      <c r="M117" s="31">
        <v>1580778</v>
      </c>
      <c r="N117" s="31" t="str">
        <f>""</f>
        <v/>
      </c>
      <c r="O117" s="31" t="str">
        <f>""</f>
        <v/>
      </c>
      <c r="P117" s="31" t="str">
        <f>""</f>
        <v/>
      </c>
      <c r="Q117" s="45" t="str">
        <f>""</f>
        <v/>
      </c>
      <c r="R117" s="46">
        <v>200</v>
      </c>
      <c r="S117" s="46">
        <v>0</v>
      </c>
      <c r="T117" s="47">
        <f t="shared" si="6"/>
        <v>200</v>
      </c>
    </row>
    <row r="118" spans="1:20" s="31" customFormat="1" x14ac:dyDescent="0.25">
      <c r="A118" s="25" t="s">
        <v>25</v>
      </c>
      <c r="B118" s="42"/>
      <c r="C118" s="42"/>
      <c r="D118" s="25"/>
      <c r="E118" s="25"/>
      <c r="F118" s="42" t="e">
        <f t="shared" si="7"/>
        <v>#REF!</v>
      </c>
      <c r="G118" s="42" t="e">
        <f t="shared" si="7"/>
        <v>#REF!</v>
      </c>
      <c r="H118" s="43"/>
      <c r="K118" s="31" t="str">
        <f>"""GP"",""Ute Indian Tribe Membership Fund"",""aaa_contract_detail_sp"",""JRNENTRY"",""1580866"",""aaGLHdrID"",""1748605"",""aaGLDistID"",""13"",""aaGLAssignID"",""1"",""contract"",""3460 92 URHS FY2025"""</f>
        <v>"GP","Ute Indian Tribe Membership Fund","aaa_contract_detail_sp","JRNENTRY","1580866","aaGLHdrID","1748605","aaGLDistID","13","aaGLAssignID","1","contract","3460 92 URHS FY2025"</v>
      </c>
      <c r="L118" s="44">
        <v>45656</v>
      </c>
      <c r="M118" s="31">
        <v>1580866</v>
      </c>
      <c r="N118" s="31" t="str">
        <f>""</f>
        <v/>
      </c>
      <c r="O118" s="31" t="str">
        <f>""</f>
        <v/>
      </c>
      <c r="P118" s="31" t="str">
        <f>""</f>
        <v/>
      </c>
      <c r="Q118" s="45" t="str">
        <f>""</f>
        <v/>
      </c>
      <c r="R118" s="46">
        <v>2609.2800000000002</v>
      </c>
      <c r="S118" s="46">
        <v>0</v>
      </c>
      <c r="T118" s="47">
        <f t="shared" si="6"/>
        <v>2609.2800000000002</v>
      </c>
    </row>
    <row r="119" spans="1:20" s="31" customFormat="1" x14ac:dyDescent="0.25">
      <c r="A119" s="25" t="s">
        <v>25</v>
      </c>
      <c r="B119" s="42"/>
      <c r="C119" s="42"/>
      <c r="D119" s="25"/>
      <c r="E119" s="25"/>
      <c r="F119" s="42" t="e">
        <f t="shared" si="7"/>
        <v>#REF!</v>
      </c>
      <c r="G119" s="42" t="e">
        <f t="shared" si="7"/>
        <v>#REF!</v>
      </c>
      <c r="H119" s="43"/>
      <c r="K119" s="31" t="str">
        <f>"""GP"",""Ute Indian Tribe Membership Fund"",""aaa_contract_detail_sp"",""JRNENTRY"",""1580943"",""aaGLHdrID"",""1748682"",""aaGLDistID"",""12"",""aaGLAssignID"",""1"",""contract"",""3460 92 URHS FY2025"""</f>
        <v>"GP","Ute Indian Tribe Membership Fund","aaa_contract_detail_sp","JRNENTRY","1580943","aaGLHdrID","1748682","aaGLDistID","12","aaGLAssignID","1","contract","3460 92 URHS FY2025"</v>
      </c>
      <c r="L119" s="44">
        <v>45656</v>
      </c>
      <c r="M119" s="31">
        <v>1580943</v>
      </c>
      <c r="N119" s="31" t="str">
        <f>""</f>
        <v/>
      </c>
      <c r="O119" s="31" t="str">
        <f>""</f>
        <v/>
      </c>
      <c r="P119" s="31" t="str">
        <f>""</f>
        <v/>
      </c>
      <c r="Q119" s="45" t="str">
        <f>""</f>
        <v/>
      </c>
      <c r="R119" s="46">
        <v>1322.16</v>
      </c>
      <c r="S119" s="46">
        <v>0</v>
      </c>
      <c r="T119" s="47">
        <f t="shared" si="6"/>
        <v>1322.16</v>
      </c>
    </row>
    <row r="120" spans="1:20" s="31" customFormat="1" x14ac:dyDescent="0.25">
      <c r="A120" s="25" t="s">
        <v>25</v>
      </c>
      <c r="B120" s="42"/>
      <c r="C120" s="42"/>
      <c r="D120" s="25"/>
      <c r="E120" s="25"/>
      <c r="F120" s="42" t="e">
        <f t="shared" si="7"/>
        <v>#REF!</v>
      </c>
      <c r="G120" s="42" t="e">
        <f t="shared" si="7"/>
        <v>#REF!</v>
      </c>
      <c r="H120" s="43"/>
      <c r="K120" s="31" t="str">
        <f>"""GP"",""Ute Indian Tribe Membership Fund"",""aaa_contract_detail_sp"",""JRNENTRY"",""1580943"",""aaGLHdrID"",""1748682"",""aaGLDistID"",""13"",""aaGLAssignID"",""1"",""contract"",""3460 92 URHS FY2025"""</f>
        <v>"GP","Ute Indian Tribe Membership Fund","aaa_contract_detail_sp","JRNENTRY","1580943","aaGLHdrID","1748682","aaGLDistID","13","aaGLAssignID","1","contract","3460 92 URHS FY2025"</v>
      </c>
      <c r="L120" s="44">
        <v>45656</v>
      </c>
      <c r="M120" s="31">
        <v>1580943</v>
      </c>
      <c r="N120" s="31" t="str">
        <f>""</f>
        <v/>
      </c>
      <c r="O120" s="31" t="str">
        <f>""</f>
        <v/>
      </c>
      <c r="P120" s="31" t="str">
        <f>""</f>
        <v/>
      </c>
      <c r="Q120" s="45" t="str">
        <f>""</f>
        <v/>
      </c>
      <c r="R120" s="46">
        <v>188.88</v>
      </c>
      <c r="S120" s="46">
        <v>0</v>
      </c>
      <c r="T120" s="47">
        <f t="shared" si="6"/>
        <v>188.88</v>
      </c>
    </row>
    <row r="121" spans="1:20" s="31" customFormat="1" x14ac:dyDescent="0.25">
      <c r="A121" s="25" t="s">
        <v>25</v>
      </c>
      <c r="B121" s="42"/>
      <c r="C121" s="42"/>
      <c r="D121" s="25"/>
      <c r="E121" s="25"/>
      <c r="F121" s="42" t="e">
        <f t="shared" si="7"/>
        <v>#REF!</v>
      </c>
      <c r="G121" s="42" t="e">
        <f t="shared" si="7"/>
        <v>#REF!</v>
      </c>
      <c r="H121" s="43"/>
      <c r="K121" s="31" t="str">
        <f>"""GP"",""Ute Indian Tribe Membership Fund"",""aaa_contract_detail_sp"",""JRNENTRY"",""1580947"",""aaGLHdrID"",""1748686"",""aaGLDistID"",""15"",""aaGLAssignID"",""1"",""contract"",""3460 92 URHS FY2025"""</f>
        <v>"GP","Ute Indian Tribe Membership Fund","aaa_contract_detail_sp","JRNENTRY","1580947","aaGLHdrID","1748686","aaGLDistID","15","aaGLAssignID","1","contract","3460 92 URHS FY2025"</v>
      </c>
      <c r="L121" s="44">
        <v>45656</v>
      </c>
      <c r="M121" s="31">
        <v>1580947</v>
      </c>
      <c r="N121" s="31" t="str">
        <f>""</f>
        <v/>
      </c>
      <c r="O121" s="31" t="str">
        <f>""</f>
        <v/>
      </c>
      <c r="P121" s="31" t="str">
        <f>""</f>
        <v/>
      </c>
      <c r="Q121" s="45" t="str">
        <f>""</f>
        <v/>
      </c>
      <c r="R121" s="46">
        <v>1630.72</v>
      </c>
      <c r="S121" s="46">
        <v>0</v>
      </c>
      <c r="T121" s="47">
        <f t="shared" si="6"/>
        <v>1630.72</v>
      </c>
    </row>
    <row r="122" spans="1:20" s="31" customFormat="1" x14ac:dyDescent="0.25">
      <c r="A122" s="25" t="s">
        <v>25</v>
      </c>
      <c r="B122" s="42"/>
      <c r="C122" s="42"/>
      <c r="D122" s="25"/>
      <c r="E122" s="25"/>
      <c r="F122" s="42" t="e">
        <f t="shared" si="7"/>
        <v>#REF!</v>
      </c>
      <c r="G122" s="42" t="e">
        <f t="shared" si="7"/>
        <v>#REF!</v>
      </c>
      <c r="H122" s="43"/>
      <c r="K122" s="31" t="str">
        <f>"""GP"",""Ute Indian Tribe Membership Fund"",""aaa_contract_detail_sp"",""JRNENTRY"",""1580947"",""aaGLHdrID"",""1748686"",""aaGLDistID"",""16"",""aaGLAssignID"",""1"",""contract"",""3460 92 URHS FY2025"""</f>
        <v>"GP","Ute Indian Tribe Membership Fund","aaa_contract_detail_sp","JRNENTRY","1580947","aaGLHdrID","1748686","aaGLDistID","16","aaGLAssignID","1","contract","3460 92 URHS FY2025"</v>
      </c>
      <c r="L122" s="44">
        <v>45656</v>
      </c>
      <c r="M122" s="31">
        <v>1580947</v>
      </c>
      <c r="N122" s="31" t="str">
        <f>""</f>
        <v/>
      </c>
      <c r="O122" s="31" t="str">
        <f>""</f>
        <v/>
      </c>
      <c r="P122" s="31" t="str">
        <f>""</f>
        <v/>
      </c>
      <c r="Q122" s="45" t="str">
        <f>""</f>
        <v/>
      </c>
      <c r="R122" s="46">
        <v>110.4</v>
      </c>
      <c r="S122" s="46">
        <v>0</v>
      </c>
      <c r="T122" s="47">
        <f t="shared" ref="T122" si="8">SUM(R122:S122)</f>
        <v>110.4</v>
      </c>
    </row>
    <row r="123" spans="1:20" s="31" customFormat="1" ht="12.75" x14ac:dyDescent="0.2">
      <c r="A123" s="25" t="s">
        <v>25</v>
      </c>
      <c r="B123" s="42"/>
      <c r="C123" s="42"/>
      <c r="D123" s="25"/>
      <c r="E123" s="25"/>
      <c r="F123" s="42" t="e">
        <f>#REF!</f>
        <v>#REF!</v>
      </c>
      <c r="G123" s="42" t="e">
        <f>#REF!</f>
        <v>#REF!</v>
      </c>
      <c r="H123" s="43"/>
    </row>
    <row r="124" spans="1:20" s="31" customFormat="1" ht="12.75" x14ac:dyDescent="0.2">
      <c r="A124" s="25" t="s">
        <v>25</v>
      </c>
      <c r="B124" s="25"/>
      <c r="C124" s="25"/>
      <c r="D124" s="25"/>
      <c r="E124" s="25"/>
      <c r="F124" s="25"/>
      <c r="G124" s="25"/>
      <c r="H124" s="30"/>
      <c r="I124" s="54" t="str">
        <f>I30&amp;"   "&amp;J30&amp;"         Total:"</f>
        <v>5021-0-6100-3460   Salaries and Wages         Total:</v>
      </c>
      <c r="J124" s="54"/>
      <c r="K124" s="54"/>
      <c r="L124" s="54"/>
      <c r="M124" s="54"/>
      <c r="N124" s="54"/>
      <c r="O124" s="54"/>
      <c r="P124" s="54"/>
      <c r="Q124" s="54"/>
      <c r="R124" s="54"/>
      <c r="S124" s="54"/>
      <c r="T124" s="48">
        <f>SUBTOTAL(9,T31:T123)</f>
        <v>146422.30999999997</v>
      </c>
    </row>
    <row r="125" spans="1:20" s="31" customFormat="1" ht="12.75" x14ac:dyDescent="0.2">
      <c r="A125" s="25" t="s">
        <v>25</v>
      </c>
      <c r="B125" s="25"/>
      <c r="C125" s="25"/>
      <c r="D125" s="25"/>
      <c r="E125" s="25"/>
      <c r="F125" s="25"/>
      <c r="G125" s="25"/>
      <c r="H125" s="30"/>
    </row>
    <row r="126" spans="1:20" s="31" customFormat="1" ht="12.75" x14ac:dyDescent="0.2">
      <c r="A126" s="25" t="s">
        <v>25</v>
      </c>
      <c r="B126" s="25"/>
      <c r="C126" s="25"/>
      <c r="D126" s="25"/>
      <c r="E126" s="25"/>
      <c r="F126" s="25"/>
      <c r="G126" s="25"/>
      <c r="H126" s="30"/>
    </row>
    <row r="127" spans="1:20" s="31" customFormat="1" ht="12.75" x14ac:dyDescent="0.2">
      <c r="A127" s="25" t="s">
        <v>25</v>
      </c>
      <c r="B127" s="25"/>
      <c r="C127" s="25"/>
      <c r="D127" s="25"/>
      <c r="E127" s="25"/>
      <c r="F127" s="25" t="str">
        <f>"5021-0-6110-3460"</f>
        <v>5021-0-6110-3460</v>
      </c>
      <c r="G127" s="25" t="str">
        <f>"5021-0-6110-3460"</f>
        <v>5021-0-6110-3460</v>
      </c>
      <c r="H127" s="30"/>
      <c r="I127" s="40" t="str">
        <f>G127</f>
        <v>5021-0-6110-3460</v>
      </c>
      <c r="J127" s="40" t="str">
        <f>"Fringe Benefits - Taxes"</f>
        <v>Fringe Benefits - Taxes</v>
      </c>
      <c r="Q127" s="40"/>
      <c r="R127" s="41"/>
    </row>
    <row r="128" spans="1:20" s="31" customFormat="1" x14ac:dyDescent="0.25">
      <c r="A128" s="25" t="s">
        <v>25</v>
      </c>
      <c r="B128" s="42"/>
      <c r="C128" s="42"/>
      <c r="D128" s="25"/>
      <c r="E128" s="25"/>
      <c r="F128" s="42" t="e">
        <f>#REF!</f>
        <v>#REF!</v>
      </c>
      <c r="G128" s="42" t="e">
        <f>#REF!</f>
        <v>#REF!</v>
      </c>
      <c r="H128" s="43"/>
      <c r="K128" s="31" t="str">
        <f>"""GP"",""Ute Indian Tribe Membership Fund"",""aaa_contract_detail_sp"",""JRNENTRY"",""1570884"",""aaGLHdrID"",""1739017"",""aaGLDistID"",""17"",""aaGLAssignID"",""1"",""contract"",""3460 92 URHS FY2025"""</f>
        <v>"GP","Ute Indian Tribe Membership Fund","aaa_contract_detail_sp","JRNENTRY","1570884","aaGLHdrID","1739017","aaGLDistID","17","aaGLAssignID","1","contract","3460 92 URHS FY2025"</v>
      </c>
      <c r="L128" s="44">
        <v>45603</v>
      </c>
      <c r="M128" s="31">
        <v>1570884</v>
      </c>
      <c r="N128" s="31" t="str">
        <f>""</f>
        <v/>
      </c>
      <c r="O128" s="31" t="str">
        <f>""</f>
        <v/>
      </c>
      <c r="P128" s="31" t="str">
        <f>""</f>
        <v/>
      </c>
      <c r="Q128" s="45" t="str">
        <f>""</f>
        <v/>
      </c>
      <c r="R128" s="46">
        <v>137.53</v>
      </c>
      <c r="S128" s="46">
        <v>0</v>
      </c>
      <c r="T128" s="47">
        <f t="shared" ref="T128:T161" si="9">SUM(R128:S128)</f>
        <v>137.53</v>
      </c>
    </row>
    <row r="129" spans="1:20" s="31" customFormat="1" x14ac:dyDescent="0.25">
      <c r="A129" s="25" t="s">
        <v>25</v>
      </c>
      <c r="B129" s="42"/>
      <c r="C129" s="42"/>
      <c r="D129" s="25"/>
      <c r="E129" s="25"/>
      <c r="F129" s="42" t="e">
        <f t="shared" ref="F129:G161" si="10">F128</f>
        <v>#REF!</v>
      </c>
      <c r="G129" s="42" t="e">
        <f t="shared" si="10"/>
        <v>#REF!</v>
      </c>
      <c r="H129" s="43"/>
      <c r="K129" s="31" t="str">
        <f>"""GP"",""Ute Indian Tribe Membership Fund"",""aaa_contract_detail_sp"",""JRNENTRY"",""1570884"",""aaGLHdrID"",""1739017"",""aaGLDistID"",""18"",""aaGLAssignID"",""1"",""contract"",""3460 92 URHS FY2025"""</f>
        <v>"GP","Ute Indian Tribe Membership Fund","aaa_contract_detail_sp","JRNENTRY","1570884","aaGLHdrID","1739017","aaGLDistID","18","aaGLAssignID","1","contract","3460 92 URHS FY2025"</v>
      </c>
      <c r="L129" s="44">
        <v>45603</v>
      </c>
      <c r="M129" s="31">
        <v>1570884</v>
      </c>
      <c r="N129" s="31" t="str">
        <f>""</f>
        <v/>
      </c>
      <c r="O129" s="31" t="str">
        <f>""</f>
        <v/>
      </c>
      <c r="P129" s="31" t="str">
        <f>""</f>
        <v/>
      </c>
      <c r="Q129" s="45" t="str">
        <f>""</f>
        <v/>
      </c>
      <c r="R129" s="46">
        <v>32.17</v>
      </c>
      <c r="S129" s="46">
        <v>0</v>
      </c>
      <c r="T129" s="47">
        <f t="shared" si="9"/>
        <v>32.17</v>
      </c>
    </row>
    <row r="130" spans="1:20" s="31" customFormat="1" x14ac:dyDescent="0.25">
      <c r="A130" s="25" t="s">
        <v>25</v>
      </c>
      <c r="B130" s="42"/>
      <c r="C130" s="42"/>
      <c r="D130" s="25"/>
      <c r="E130" s="25"/>
      <c r="F130" s="42" t="e">
        <f t="shared" si="10"/>
        <v>#REF!</v>
      </c>
      <c r="G130" s="42" t="e">
        <f t="shared" si="10"/>
        <v>#REF!</v>
      </c>
      <c r="H130" s="43"/>
      <c r="K130" s="31" t="str">
        <f>"""GP"",""Ute Indian Tribe Membership Fund"",""aaa_contract_detail_sp"",""JRNENTRY"",""1570950"",""aaGLHdrID"",""1739083"",""aaGLDistID"",""17"",""aaGLAssignID"",""1"",""contract"",""3460 92 URHS FY2025"""</f>
        <v>"GP","Ute Indian Tribe Membership Fund","aaa_contract_detail_sp","JRNENTRY","1570950","aaGLHdrID","1739083","aaGLDistID","17","aaGLAssignID","1","contract","3460 92 URHS FY2025"</v>
      </c>
      <c r="L130" s="44">
        <v>45603</v>
      </c>
      <c r="M130" s="31">
        <v>1570950</v>
      </c>
      <c r="N130" s="31" t="str">
        <f>""</f>
        <v/>
      </c>
      <c r="O130" s="31" t="str">
        <f>""</f>
        <v/>
      </c>
      <c r="P130" s="31" t="str">
        <f>""</f>
        <v/>
      </c>
      <c r="Q130" s="45" t="str">
        <f>""</f>
        <v/>
      </c>
      <c r="R130" s="46">
        <v>169.51</v>
      </c>
      <c r="S130" s="46">
        <v>0</v>
      </c>
      <c r="T130" s="47">
        <f t="shared" si="9"/>
        <v>169.51</v>
      </c>
    </row>
    <row r="131" spans="1:20" s="31" customFormat="1" x14ac:dyDescent="0.25">
      <c r="A131" s="25" t="s">
        <v>25</v>
      </c>
      <c r="B131" s="42"/>
      <c r="C131" s="42"/>
      <c r="D131" s="25"/>
      <c r="E131" s="25"/>
      <c r="F131" s="42" t="e">
        <f t="shared" si="10"/>
        <v>#REF!</v>
      </c>
      <c r="G131" s="42" t="e">
        <f t="shared" si="10"/>
        <v>#REF!</v>
      </c>
      <c r="H131" s="43"/>
      <c r="K131" s="31" t="str">
        <f>"""GP"",""Ute Indian Tribe Membership Fund"",""aaa_contract_detail_sp"",""JRNENTRY"",""1570950"",""aaGLHdrID"",""1739083"",""aaGLDistID"",""18"",""aaGLAssignID"",""1"",""contract"",""3460 92 URHS FY2025"""</f>
        <v>"GP","Ute Indian Tribe Membership Fund","aaa_contract_detail_sp","JRNENTRY","1570950","aaGLHdrID","1739083","aaGLDistID","18","aaGLAssignID","1","contract","3460 92 URHS FY2025"</v>
      </c>
      <c r="L131" s="44">
        <v>45603</v>
      </c>
      <c r="M131" s="31">
        <v>1570950</v>
      </c>
      <c r="N131" s="31" t="str">
        <f>""</f>
        <v/>
      </c>
      <c r="O131" s="31" t="str">
        <f>""</f>
        <v/>
      </c>
      <c r="P131" s="31" t="str">
        <f>""</f>
        <v/>
      </c>
      <c r="Q131" s="45" t="str">
        <f>""</f>
        <v/>
      </c>
      <c r="R131" s="46">
        <v>39.64</v>
      </c>
      <c r="S131" s="46">
        <v>0</v>
      </c>
      <c r="T131" s="47">
        <f t="shared" si="9"/>
        <v>39.64</v>
      </c>
    </row>
    <row r="132" spans="1:20" s="31" customFormat="1" x14ac:dyDescent="0.25">
      <c r="A132" s="25" t="s">
        <v>25</v>
      </c>
      <c r="B132" s="42"/>
      <c r="C132" s="42"/>
      <c r="D132" s="25"/>
      <c r="E132" s="25"/>
      <c r="F132" s="42" t="e">
        <f t="shared" si="10"/>
        <v>#REF!</v>
      </c>
      <c r="G132" s="42" t="e">
        <f t="shared" si="10"/>
        <v>#REF!</v>
      </c>
      <c r="H132" s="43"/>
      <c r="K132" s="31" t="str">
        <f>"""GP"",""Ute Indian Tribe Membership Fund"",""aaa_contract_detail_sp"",""JRNENTRY"",""1571044"",""aaGLHdrID"",""1739177"",""aaGLDistID"",""17"",""aaGLAssignID"",""1"",""contract"",""3460 92 URHS FY2025"""</f>
        <v>"GP","Ute Indian Tribe Membership Fund","aaa_contract_detail_sp","JRNENTRY","1571044","aaGLHdrID","1739177","aaGLDistID","17","aaGLAssignID","1","contract","3460 92 URHS FY2025"</v>
      </c>
      <c r="L132" s="44">
        <v>45603</v>
      </c>
      <c r="M132" s="31">
        <v>1571044</v>
      </c>
      <c r="N132" s="31" t="str">
        <f>""</f>
        <v/>
      </c>
      <c r="O132" s="31" t="str">
        <f>""</f>
        <v/>
      </c>
      <c r="P132" s="31" t="str">
        <f>""</f>
        <v/>
      </c>
      <c r="Q132" s="45" t="str">
        <f>""</f>
        <v/>
      </c>
      <c r="R132" s="46">
        <v>201.14</v>
      </c>
      <c r="S132" s="46">
        <v>0</v>
      </c>
      <c r="T132" s="47">
        <f t="shared" si="9"/>
        <v>201.14</v>
      </c>
    </row>
    <row r="133" spans="1:20" s="31" customFormat="1" x14ac:dyDescent="0.25">
      <c r="A133" s="25" t="s">
        <v>25</v>
      </c>
      <c r="B133" s="42"/>
      <c r="C133" s="42"/>
      <c r="D133" s="25"/>
      <c r="E133" s="25"/>
      <c r="F133" s="42" t="e">
        <f t="shared" si="10"/>
        <v>#REF!</v>
      </c>
      <c r="G133" s="42" t="e">
        <f t="shared" si="10"/>
        <v>#REF!</v>
      </c>
      <c r="H133" s="43"/>
      <c r="K133" s="31" t="str">
        <f>"""GP"",""Ute Indian Tribe Membership Fund"",""aaa_contract_detail_sp"",""JRNENTRY"",""1571044"",""aaGLHdrID"",""1739177"",""aaGLDistID"",""18"",""aaGLAssignID"",""1"",""contract"",""3460 92 URHS FY2025"""</f>
        <v>"GP","Ute Indian Tribe Membership Fund","aaa_contract_detail_sp","JRNENTRY","1571044","aaGLHdrID","1739177","aaGLDistID","18","aaGLAssignID","1","contract","3460 92 URHS FY2025"</v>
      </c>
      <c r="L133" s="44">
        <v>45603</v>
      </c>
      <c r="M133" s="31">
        <v>1571044</v>
      </c>
      <c r="N133" s="31" t="str">
        <f>""</f>
        <v/>
      </c>
      <c r="O133" s="31" t="str">
        <f>""</f>
        <v/>
      </c>
      <c r="P133" s="31" t="str">
        <f>""</f>
        <v/>
      </c>
      <c r="Q133" s="45" t="str">
        <f>""</f>
        <v/>
      </c>
      <c r="R133" s="46">
        <v>47.04</v>
      </c>
      <c r="S133" s="46">
        <v>0</v>
      </c>
      <c r="T133" s="47">
        <f t="shared" si="9"/>
        <v>47.04</v>
      </c>
    </row>
    <row r="134" spans="1:20" s="31" customFormat="1" x14ac:dyDescent="0.25">
      <c r="A134" s="25" t="s">
        <v>25</v>
      </c>
      <c r="B134" s="42"/>
      <c r="C134" s="42"/>
      <c r="D134" s="25"/>
      <c r="E134" s="25"/>
      <c r="F134" s="42" t="e">
        <f t="shared" si="10"/>
        <v>#REF!</v>
      </c>
      <c r="G134" s="42" t="e">
        <f t="shared" si="10"/>
        <v>#REF!</v>
      </c>
      <c r="H134" s="43"/>
      <c r="K134" s="31" t="str">
        <f>"""GP"",""Ute Indian Tribe Membership Fund"",""aaa_contract_detail_sp"",""JRNENTRY"",""1571049"",""aaGLHdrID"",""1739182"",""aaGLDistID"",""19"",""aaGLAssignID"",""1"",""contract"",""3460 92 URHS FY2025"""</f>
        <v>"GP","Ute Indian Tribe Membership Fund","aaa_contract_detail_sp","JRNENTRY","1571049","aaGLHdrID","1739182","aaGLDistID","19","aaGLAssignID","1","contract","3460 92 URHS FY2025"</v>
      </c>
      <c r="L134" s="44">
        <v>45603</v>
      </c>
      <c r="M134" s="31">
        <v>1571049</v>
      </c>
      <c r="N134" s="31" t="str">
        <f>""</f>
        <v/>
      </c>
      <c r="O134" s="31" t="str">
        <f>""</f>
        <v/>
      </c>
      <c r="P134" s="31" t="str">
        <f>""</f>
        <v/>
      </c>
      <c r="Q134" s="45" t="str">
        <f>""</f>
        <v/>
      </c>
      <c r="R134" s="46">
        <v>237.82</v>
      </c>
      <c r="S134" s="46">
        <v>0</v>
      </c>
      <c r="T134" s="47">
        <f t="shared" si="9"/>
        <v>237.82</v>
      </c>
    </row>
    <row r="135" spans="1:20" s="31" customFormat="1" x14ac:dyDescent="0.25">
      <c r="A135" s="25" t="s">
        <v>25</v>
      </c>
      <c r="B135" s="42"/>
      <c r="C135" s="42"/>
      <c r="D135" s="25"/>
      <c r="E135" s="25"/>
      <c r="F135" s="42" t="e">
        <f t="shared" si="10"/>
        <v>#REF!</v>
      </c>
      <c r="G135" s="42" t="e">
        <f t="shared" si="10"/>
        <v>#REF!</v>
      </c>
      <c r="H135" s="43"/>
      <c r="K135" s="31" t="str">
        <f>"""GP"",""Ute Indian Tribe Membership Fund"",""aaa_contract_detail_sp"",""JRNENTRY"",""1571049"",""aaGLHdrID"",""1739182"",""aaGLDistID"",""20"",""aaGLAssignID"",""1"",""contract"",""3460 92 URHS FY2025"""</f>
        <v>"GP","Ute Indian Tribe Membership Fund","aaa_contract_detail_sp","JRNENTRY","1571049","aaGLHdrID","1739182","aaGLDistID","20","aaGLAssignID","1","contract","3460 92 URHS FY2025"</v>
      </c>
      <c r="L135" s="44">
        <v>45603</v>
      </c>
      <c r="M135" s="31">
        <v>1571049</v>
      </c>
      <c r="N135" s="31" t="str">
        <f>""</f>
        <v/>
      </c>
      <c r="O135" s="31" t="str">
        <f>""</f>
        <v/>
      </c>
      <c r="P135" s="31" t="str">
        <f>""</f>
        <v/>
      </c>
      <c r="Q135" s="45" t="str">
        <f>""</f>
        <v/>
      </c>
      <c r="R135" s="46">
        <v>55.61</v>
      </c>
      <c r="S135" s="46">
        <v>0</v>
      </c>
      <c r="T135" s="47">
        <f t="shared" si="9"/>
        <v>55.61</v>
      </c>
    </row>
    <row r="136" spans="1:20" s="31" customFormat="1" x14ac:dyDescent="0.25">
      <c r="A136" s="25" t="s">
        <v>25</v>
      </c>
      <c r="B136" s="42"/>
      <c r="C136" s="42"/>
      <c r="D136" s="25"/>
      <c r="E136" s="25"/>
      <c r="F136" s="42" t="e">
        <f t="shared" si="10"/>
        <v>#REF!</v>
      </c>
      <c r="G136" s="42" t="e">
        <f t="shared" si="10"/>
        <v>#REF!</v>
      </c>
      <c r="H136" s="43"/>
      <c r="K136" s="31" t="str">
        <f>"""GP"",""Ute Indian Tribe Membership Fund"",""aaa_contract_detail_sp"",""JRNENTRY"",""1571090"",""aaGLHdrID"",""1739223"",""aaGLDistID"",""16"",""aaGLAssignID"",""1"",""contract"",""3460 92 URHS FY2025"""</f>
        <v>"GP","Ute Indian Tribe Membership Fund","aaa_contract_detail_sp","JRNENTRY","1571090","aaGLHdrID","1739223","aaGLDistID","16","aaGLAssignID","1","contract","3460 92 URHS FY2025"</v>
      </c>
      <c r="L136" s="44">
        <v>45603</v>
      </c>
      <c r="M136" s="31">
        <v>1571090</v>
      </c>
      <c r="N136" s="31" t="str">
        <f>""</f>
        <v/>
      </c>
      <c r="O136" s="31" t="str">
        <f>""</f>
        <v/>
      </c>
      <c r="P136" s="31" t="str">
        <f>""</f>
        <v/>
      </c>
      <c r="Q136" s="45" t="str">
        <f>""</f>
        <v/>
      </c>
      <c r="R136" s="46">
        <v>159.44</v>
      </c>
      <c r="S136" s="46">
        <v>0</v>
      </c>
      <c r="T136" s="47">
        <f t="shared" si="9"/>
        <v>159.44</v>
      </c>
    </row>
    <row r="137" spans="1:20" s="31" customFormat="1" x14ac:dyDescent="0.25">
      <c r="A137" s="25" t="s">
        <v>25</v>
      </c>
      <c r="B137" s="42"/>
      <c r="C137" s="42"/>
      <c r="D137" s="25"/>
      <c r="E137" s="25"/>
      <c r="F137" s="42" t="e">
        <f t="shared" si="10"/>
        <v>#REF!</v>
      </c>
      <c r="G137" s="42" t="e">
        <f t="shared" si="10"/>
        <v>#REF!</v>
      </c>
      <c r="H137" s="43"/>
      <c r="K137" s="31" t="str">
        <f>"""GP"",""Ute Indian Tribe Membership Fund"",""aaa_contract_detail_sp"",""JRNENTRY"",""1571090"",""aaGLHdrID"",""1739223"",""aaGLDistID"",""17"",""aaGLAssignID"",""1"",""contract"",""3460 92 URHS FY2025"""</f>
        <v>"GP","Ute Indian Tribe Membership Fund","aaa_contract_detail_sp","JRNENTRY","1571090","aaGLHdrID","1739223","aaGLDistID","17","aaGLAssignID","1","contract","3460 92 URHS FY2025"</v>
      </c>
      <c r="L137" s="44">
        <v>45603</v>
      </c>
      <c r="M137" s="31">
        <v>1571090</v>
      </c>
      <c r="N137" s="31" t="str">
        <f>""</f>
        <v/>
      </c>
      <c r="O137" s="31" t="str">
        <f>""</f>
        <v/>
      </c>
      <c r="P137" s="31" t="str">
        <f>""</f>
        <v/>
      </c>
      <c r="Q137" s="45" t="str">
        <f>""</f>
        <v/>
      </c>
      <c r="R137" s="46">
        <v>37.29</v>
      </c>
      <c r="S137" s="46">
        <v>0</v>
      </c>
      <c r="T137" s="47">
        <f t="shared" si="9"/>
        <v>37.29</v>
      </c>
    </row>
    <row r="138" spans="1:20" s="31" customFormat="1" x14ac:dyDescent="0.25">
      <c r="A138" s="25" t="s">
        <v>25</v>
      </c>
      <c r="B138" s="42"/>
      <c r="C138" s="42"/>
      <c r="D138" s="25"/>
      <c r="E138" s="25"/>
      <c r="F138" s="42" t="e">
        <f t="shared" si="10"/>
        <v>#REF!</v>
      </c>
      <c r="G138" s="42" t="e">
        <f t="shared" si="10"/>
        <v>#REF!</v>
      </c>
      <c r="H138" s="43"/>
      <c r="K138" s="31" t="str">
        <f>"""GP"",""Ute Indian Tribe Membership Fund"",""aaa_contract_detail_sp"",""JRNENTRY"",""1571091"",""aaGLHdrID"",""1739224"",""aaGLDistID"",""15"",""aaGLAssignID"",""1"",""contract"",""3460 92 URHS FY2025"""</f>
        <v>"GP","Ute Indian Tribe Membership Fund","aaa_contract_detail_sp","JRNENTRY","1571091","aaGLHdrID","1739224","aaGLDistID","15","aaGLAssignID","1","contract","3460 92 URHS FY2025"</v>
      </c>
      <c r="L138" s="44">
        <v>45603</v>
      </c>
      <c r="M138" s="31">
        <v>1571091</v>
      </c>
      <c r="N138" s="31" t="str">
        <f>""</f>
        <v/>
      </c>
      <c r="O138" s="31" t="str">
        <f>""</f>
        <v/>
      </c>
      <c r="P138" s="31" t="str">
        <f>""</f>
        <v/>
      </c>
      <c r="Q138" s="45" t="str">
        <f>""</f>
        <v/>
      </c>
      <c r="R138" s="46">
        <v>182.77</v>
      </c>
      <c r="S138" s="46">
        <v>0</v>
      </c>
      <c r="T138" s="47">
        <f t="shared" si="9"/>
        <v>182.77</v>
      </c>
    </row>
    <row r="139" spans="1:20" s="31" customFormat="1" x14ac:dyDescent="0.25">
      <c r="A139" s="25" t="s">
        <v>25</v>
      </c>
      <c r="B139" s="42"/>
      <c r="C139" s="42"/>
      <c r="D139" s="25"/>
      <c r="E139" s="25"/>
      <c r="F139" s="42" t="e">
        <f t="shared" si="10"/>
        <v>#REF!</v>
      </c>
      <c r="G139" s="42" t="e">
        <f t="shared" si="10"/>
        <v>#REF!</v>
      </c>
      <c r="H139" s="43"/>
      <c r="K139" s="31" t="str">
        <f>"""GP"",""Ute Indian Tribe Membership Fund"",""aaa_contract_detail_sp"",""JRNENTRY"",""1571091"",""aaGLHdrID"",""1739224"",""aaGLDistID"",""16"",""aaGLAssignID"",""1"",""contract"",""3460 92 URHS FY2025"""</f>
        <v>"GP","Ute Indian Tribe Membership Fund","aaa_contract_detail_sp","JRNENTRY","1571091","aaGLHdrID","1739224","aaGLDistID","16","aaGLAssignID","1","contract","3460 92 URHS FY2025"</v>
      </c>
      <c r="L139" s="44">
        <v>45603</v>
      </c>
      <c r="M139" s="31">
        <v>1571091</v>
      </c>
      <c r="N139" s="31" t="str">
        <f>""</f>
        <v/>
      </c>
      <c r="O139" s="31" t="str">
        <f>""</f>
        <v/>
      </c>
      <c r="P139" s="31" t="str">
        <f>""</f>
        <v/>
      </c>
      <c r="Q139" s="45" t="str">
        <f>""</f>
        <v/>
      </c>
      <c r="R139" s="46">
        <v>42.74</v>
      </c>
      <c r="S139" s="46">
        <v>0</v>
      </c>
      <c r="T139" s="47">
        <f t="shared" si="9"/>
        <v>42.74</v>
      </c>
    </row>
    <row r="140" spans="1:20" s="31" customFormat="1" x14ac:dyDescent="0.25">
      <c r="A140" s="25" t="s">
        <v>25</v>
      </c>
      <c r="B140" s="42"/>
      <c r="C140" s="42"/>
      <c r="D140" s="25"/>
      <c r="E140" s="25"/>
      <c r="F140" s="42" t="e">
        <f t="shared" si="10"/>
        <v>#REF!</v>
      </c>
      <c r="G140" s="42" t="e">
        <f t="shared" si="10"/>
        <v>#REF!</v>
      </c>
      <c r="H140" s="43"/>
      <c r="K140" s="31" t="str">
        <f>"""GP"",""Ute Indian Tribe Membership Fund"",""aaa_contract_detail_sp"",""JRNENTRY"",""1571185"",""aaGLHdrID"",""1739318"",""aaGLDistID"",""14"",""aaGLAssignID"",""1"",""contract"",""3460 92 URHS FY2025"""</f>
        <v>"GP","Ute Indian Tribe Membership Fund","aaa_contract_detail_sp","JRNENTRY","1571185","aaGLHdrID","1739318","aaGLDistID","14","aaGLAssignID","1","contract","3460 92 URHS FY2025"</v>
      </c>
      <c r="L140" s="44">
        <v>45603</v>
      </c>
      <c r="M140" s="31">
        <v>1571185</v>
      </c>
      <c r="N140" s="31" t="str">
        <f>""</f>
        <v/>
      </c>
      <c r="O140" s="31" t="str">
        <f>""</f>
        <v/>
      </c>
      <c r="P140" s="31" t="str">
        <f>""</f>
        <v/>
      </c>
      <c r="Q140" s="45" t="str">
        <f>""</f>
        <v/>
      </c>
      <c r="R140" s="46">
        <v>155.54</v>
      </c>
      <c r="S140" s="46">
        <v>0</v>
      </c>
      <c r="T140" s="47">
        <f t="shared" si="9"/>
        <v>155.54</v>
      </c>
    </row>
    <row r="141" spans="1:20" s="31" customFormat="1" x14ac:dyDescent="0.25">
      <c r="A141" s="25" t="s">
        <v>25</v>
      </c>
      <c r="B141" s="42"/>
      <c r="C141" s="42"/>
      <c r="D141" s="25"/>
      <c r="E141" s="25"/>
      <c r="F141" s="42" t="e">
        <f t="shared" si="10"/>
        <v>#REF!</v>
      </c>
      <c r="G141" s="42" t="e">
        <f t="shared" si="10"/>
        <v>#REF!</v>
      </c>
      <c r="H141" s="43"/>
      <c r="K141" s="31" t="str">
        <f>"""GP"",""Ute Indian Tribe Membership Fund"",""aaa_contract_detail_sp"",""JRNENTRY"",""1571185"",""aaGLHdrID"",""1739318"",""aaGLDistID"",""15"",""aaGLAssignID"",""1"",""contract"",""3460 92 URHS FY2025"""</f>
        <v>"GP","Ute Indian Tribe Membership Fund","aaa_contract_detail_sp","JRNENTRY","1571185","aaGLHdrID","1739318","aaGLDistID","15","aaGLAssignID","1","contract","3460 92 URHS FY2025"</v>
      </c>
      <c r="L141" s="44">
        <v>45603</v>
      </c>
      <c r="M141" s="31">
        <v>1571185</v>
      </c>
      <c r="N141" s="31" t="str">
        <f>""</f>
        <v/>
      </c>
      <c r="O141" s="31" t="str">
        <f>""</f>
        <v/>
      </c>
      <c r="P141" s="31" t="str">
        <f>""</f>
        <v/>
      </c>
      <c r="Q141" s="45" t="str">
        <f>""</f>
        <v/>
      </c>
      <c r="R141" s="46">
        <v>36.380000000000003</v>
      </c>
      <c r="S141" s="46">
        <v>0</v>
      </c>
      <c r="T141" s="47">
        <f t="shared" si="9"/>
        <v>36.380000000000003</v>
      </c>
    </row>
    <row r="142" spans="1:20" s="31" customFormat="1" x14ac:dyDescent="0.25">
      <c r="A142" s="25" t="s">
        <v>25</v>
      </c>
      <c r="B142" s="42"/>
      <c r="C142" s="42"/>
      <c r="D142" s="25"/>
      <c r="E142" s="25"/>
      <c r="F142" s="42" t="e">
        <f t="shared" si="10"/>
        <v>#REF!</v>
      </c>
      <c r="G142" s="42" t="e">
        <f t="shared" si="10"/>
        <v>#REF!</v>
      </c>
      <c r="H142" s="43"/>
      <c r="K142" s="31" t="str">
        <f>"""GP"",""Ute Indian Tribe Membership Fund"",""aaa_contract_detail_sp"",""JRNENTRY"",""1571266"",""aaGLHdrID"",""1739399"",""aaGLDistID"",""14"",""aaGLAssignID"",""1"",""contract"",""3460 92 URHS FY2025"""</f>
        <v>"GP","Ute Indian Tribe Membership Fund","aaa_contract_detail_sp","JRNENTRY","1571266","aaGLHdrID","1739399","aaGLDistID","14","aaGLAssignID","1","contract","3460 92 URHS FY2025"</v>
      </c>
      <c r="L142" s="44">
        <v>45603</v>
      </c>
      <c r="M142" s="31">
        <v>1571266</v>
      </c>
      <c r="N142" s="31" t="str">
        <f>""</f>
        <v/>
      </c>
      <c r="O142" s="31" t="str">
        <f>""</f>
        <v/>
      </c>
      <c r="P142" s="31" t="str">
        <f>""</f>
        <v/>
      </c>
      <c r="Q142" s="45" t="str">
        <f>""</f>
        <v/>
      </c>
      <c r="R142" s="46">
        <v>93.7</v>
      </c>
      <c r="S142" s="46">
        <v>0</v>
      </c>
      <c r="T142" s="47">
        <f t="shared" si="9"/>
        <v>93.7</v>
      </c>
    </row>
    <row r="143" spans="1:20" s="31" customFormat="1" x14ac:dyDescent="0.25">
      <c r="A143" s="25" t="s">
        <v>25</v>
      </c>
      <c r="B143" s="42"/>
      <c r="C143" s="42"/>
      <c r="D143" s="25"/>
      <c r="E143" s="25"/>
      <c r="F143" s="42" t="e">
        <f t="shared" si="10"/>
        <v>#REF!</v>
      </c>
      <c r="G143" s="42" t="e">
        <f t="shared" si="10"/>
        <v>#REF!</v>
      </c>
      <c r="H143" s="43"/>
      <c r="K143" s="31" t="str">
        <f>"""GP"",""Ute Indian Tribe Membership Fund"",""aaa_contract_detail_sp"",""JRNENTRY"",""1571266"",""aaGLHdrID"",""1739399"",""aaGLDistID"",""15"",""aaGLAssignID"",""1"",""contract"",""3460 92 URHS FY2025"""</f>
        <v>"GP","Ute Indian Tribe Membership Fund","aaa_contract_detail_sp","JRNENTRY","1571266","aaGLHdrID","1739399","aaGLDistID","15","aaGLAssignID","1","contract","3460 92 URHS FY2025"</v>
      </c>
      <c r="L143" s="44">
        <v>45603</v>
      </c>
      <c r="M143" s="31">
        <v>1571266</v>
      </c>
      <c r="N143" s="31" t="str">
        <f>""</f>
        <v/>
      </c>
      <c r="O143" s="31" t="str">
        <f>""</f>
        <v/>
      </c>
      <c r="P143" s="31" t="str">
        <f>""</f>
        <v/>
      </c>
      <c r="Q143" s="45" t="str">
        <f>""</f>
        <v/>
      </c>
      <c r="R143" s="46">
        <v>21.92</v>
      </c>
      <c r="S143" s="46">
        <v>0</v>
      </c>
      <c r="T143" s="47">
        <f t="shared" si="9"/>
        <v>21.92</v>
      </c>
    </row>
    <row r="144" spans="1:20" s="31" customFormat="1" x14ac:dyDescent="0.25">
      <c r="A144" s="25" t="s">
        <v>25</v>
      </c>
      <c r="B144" s="42"/>
      <c r="C144" s="42"/>
      <c r="D144" s="25"/>
      <c r="E144" s="25"/>
      <c r="F144" s="42" t="e">
        <f t="shared" si="10"/>
        <v>#REF!</v>
      </c>
      <c r="G144" s="42" t="e">
        <f t="shared" si="10"/>
        <v>#REF!</v>
      </c>
      <c r="H144" s="43"/>
      <c r="K144" s="31" t="str">
        <f>"""GP"",""Ute Indian Tribe Membership Fund"",""aaa_contract_detail_sp"",""JRNENTRY"",""1571270"",""aaGLHdrID"",""1739403"",""aaGLDistID"",""17"",""aaGLAssignID"",""1"",""contract"",""3460 92 URHS FY2025"""</f>
        <v>"GP","Ute Indian Tribe Membership Fund","aaa_contract_detail_sp","JRNENTRY","1571270","aaGLHdrID","1739403","aaGLDistID","17","aaGLAssignID","1","contract","3460 92 URHS FY2025"</v>
      </c>
      <c r="L144" s="44">
        <v>45603</v>
      </c>
      <c r="M144" s="31">
        <v>1571270</v>
      </c>
      <c r="N144" s="31" t="str">
        <f>""</f>
        <v/>
      </c>
      <c r="O144" s="31" t="str">
        <f>""</f>
        <v/>
      </c>
      <c r="P144" s="31" t="str">
        <f>""</f>
        <v/>
      </c>
      <c r="Q144" s="45" t="str">
        <f>""</f>
        <v/>
      </c>
      <c r="R144" s="46">
        <v>90.07</v>
      </c>
      <c r="S144" s="46">
        <v>0</v>
      </c>
      <c r="T144" s="47">
        <f t="shared" si="9"/>
        <v>90.07</v>
      </c>
    </row>
    <row r="145" spans="1:20" s="31" customFormat="1" x14ac:dyDescent="0.25">
      <c r="A145" s="25" t="s">
        <v>25</v>
      </c>
      <c r="B145" s="42"/>
      <c r="C145" s="42"/>
      <c r="D145" s="25"/>
      <c r="E145" s="25"/>
      <c r="F145" s="42" t="e">
        <f t="shared" si="10"/>
        <v>#REF!</v>
      </c>
      <c r="G145" s="42" t="e">
        <f t="shared" si="10"/>
        <v>#REF!</v>
      </c>
      <c r="H145" s="43"/>
      <c r="K145" s="31" t="str">
        <f>"""GP"",""Ute Indian Tribe Membership Fund"",""aaa_contract_detail_sp"",""JRNENTRY"",""1571270"",""aaGLHdrID"",""1739403"",""aaGLDistID"",""18"",""aaGLAssignID"",""1"",""contract"",""3460 92 URHS FY2025"""</f>
        <v>"GP","Ute Indian Tribe Membership Fund","aaa_contract_detail_sp","JRNENTRY","1571270","aaGLHdrID","1739403","aaGLDistID","18","aaGLAssignID","1","contract","3460 92 URHS FY2025"</v>
      </c>
      <c r="L145" s="44">
        <v>45603</v>
      </c>
      <c r="M145" s="31">
        <v>1571270</v>
      </c>
      <c r="N145" s="31" t="str">
        <f>""</f>
        <v/>
      </c>
      <c r="O145" s="31" t="str">
        <f>""</f>
        <v/>
      </c>
      <c r="P145" s="31" t="str">
        <f>""</f>
        <v/>
      </c>
      <c r="Q145" s="45" t="str">
        <f>""</f>
        <v/>
      </c>
      <c r="R145" s="46">
        <v>21.07</v>
      </c>
      <c r="S145" s="46">
        <v>0</v>
      </c>
      <c r="T145" s="47">
        <f t="shared" si="9"/>
        <v>21.07</v>
      </c>
    </row>
    <row r="146" spans="1:20" s="31" customFormat="1" x14ac:dyDescent="0.25">
      <c r="A146" s="25" t="s">
        <v>25</v>
      </c>
      <c r="B146" s="42"/>
      <c r="C146" s="42"/>
      <c r="D146" s="25"/>
      <c r="E146" s="25"/>
      <c r="F146" s="42" t="e">
        <f t="shared" si="10"/>
        <v>#REF!</v>
      </c>
      <c r="G146" s="42" t="e">
        <f t="shared" si="10"/>
        <v>#REF!</v>
      </c>
      <c r="H146" s="43"/>
      <c r="K146" s="31" t="str">
        <f>"""GP"",""Ute Indian Tribe Membership Fund"",""aaa_contract_detail_sp"",""JRNENTRY"",""1577961"",""aaGLHdrID"",""1745824"",""aaGLDistID"",""28"",""aaGLAssignID"",""1"",""contract"",""3460 92 URHS FY2025"""</f>
        <v>"GP","Ute Indian Tribe Membership Fund","aaa_contract_detail_sp","JRNENTRY","1577961","aaGLHdrID","1745824","aaGLDistID","28","aaGLAssignID","1","contract","3460 92 URHS FY2025"</v>
      </c>
      <c r="L146" s="44">
        <v>45603</v>
      </c>
      <c r="M146" s="31">
        <v>1577961</v>
      </c>
      <c r="N146" s="31" t="str">
        <f>""</f>
        <v/>
      </c>
      <c r="O146" s="31" t="str">
        <f>""</f>
        <v/>
      </c>
      <c r="P146" s="31" t="str">
        <f>""</f>
        <v/>
      </c>
      <c r="Q146" s="45" t="str">
        <f>""</f>
        <v/>
      </c>
      <c r="R146" s="46">
        <v>37.51</v>
      </c>
      <c r="S146" s="46">
        <v>0</v>
      </c>
      <c r="T146" s="47">
        <f t="shared" si="9"/>
        <v>37.51</v>
      </c>
    </row>
    <row r="147" spans="1:20" s="31" customFormat="1" x14ac:dyDescent="0.25">
      <c r="A147" s="25" t="s">
        <v>25</v>
      </c>
      <c r="B147" s="42"/>
      <c r="C147" s="42"/>
      <c r="D147" s="25"/>
      <c r="E147" s="25"/>
      <c r="F147" s="42" t="e">
        <f t="shared" si="10"/>
        <v>#REF!</v>
      </c>
      <c r="G147" s="42" t="e">
        <f t="shared" si="10"/>
        <v>#REF!</v>
      </c>
      <c r="H147" s="43"/>
      <c r="K147" s="31" t="str">
        <f>"""GP"",""Ute Indian Tribe Membership Fund"",""aaa_contract_detail_sp"",""JRNENTRY"",""1577961"",""aaGLHdrID"",""1745824"",""aaGLDistID"",""29"",""aaGLAssignID"",""1"",""contract"",""3460 92 URHS FY2025"""</f>
        <v>"GP","Ute Indian Tribe Membership Fund","aaa_contract_detail_sp","JRNENTRY","1577961","aaGLHdrID","1745824","aaGLDistID","29","aaGLAssignID","1","contract","3460 92 URHS FY2025"</v>
      </c>
      <c r="L147" s="44">
        <v>45603</v>
      </c>
      <c r="M147" s="31">
        <v>1577961</v>
      </c>
      <c r="N147" s="31" t="str">
        <f>""</f>
        <v/>
      </c>
      <c r="O147" s="31" t="str">
        <f>""</f>
        <v/>
      </c>
      <c r="P147" s="31" t="str">
        <f>""</f>
        <v/>
      </c>
      <c r="Q147" s="45" t="str">
        <f>""</f>
        <v/>
      </c>
      <c r="R147" s="46">
        <v>25.85</v>
      </c>
      <c r="S147" s="46">
        <v>0</v>
      </c>
      <c r="T147" s="47">
        <f t="shared" si="9"/>
        <v>25.85</v>
      </c>
    </row>
    <row r="148" spans="1:20" s="31" customFormat="1" x14ac:dyDescent="0.25">
      <c r="A148" s="25" t="s">
        <v>25</v>
      </c>
      <c r="B148" s="42"/>
      <c r="C148" s="42"/>
      <c r="D148" s="25"/>
      <c r="E148" s="25"/>
      <c r="F148" s="42" t="e">
        <f t="shared" si="10"/>
        <v>#REF!</v>
      </c>
      <c r="G148" s="42" t="e">
        <f t="shared" si="10"/>
        <v>#REF!</v>
      </c>
      <c r="H148" s="43"/>
      <c r="K148" s="31" t="str">
        <f>"""GP"",""Ute Indian Tribe Membership Fund"",""aaa_contract_detail_sp"",""JRNENTRY"",""1577961"",""aaGLHdrID"",""1745824"",""aaGLDistID"",""535"",""aaGLAssignID"",""1"",""contract"",""3460 92 URHS FY2025"""</f>
        <v>"GP","Ute Indian Tribe Membership Fund","aaa_contract_detail_sp","JRNENTRY","1577961","aaGLHdrID","1745824","aaGLDistID","535","aaGLAssignID","1","contract","3460 92 URHS FY2025"</v>
      </c>
      <c r="L148" s="44">
        <v>45603</v>
      </c>
      <c r="M148" s="31">
        <v>1577961</v>
      </c>
      <c r="N148" s="31" t="str">
        <f>""</f>
        <v/>
      </c>
      <c r="O148" s="31" t="str">
        <f>""</f>
        <v/>
      </c>
      <c r="P148" s="31" t="str">
        <f>""</f>
        <v/>
      </c>
      <c r="Q148" s="45" t="str">
        <f>""</f>
        <v/>
      </c>
      <c r="R148" s="46">
        <v>39.54</v>
      </c>
      <c r="S148" s="46">
        <v>0</v>
      </c>
      <c r="T148" s="47">
        <f t="shared" si="9"/>
        <v>39.54</v>
      </c>
    </row>
    <row r="149" spans="1:20" s="31" customFormat="1" x14ac:dyDescent="0.25">
      <c r="A149" s="25" t="s">
        <v>25</v>
      </c>
      <c r="B149" s="42"/>
      <c r="C149" s="42"/>
      <c r="D149" s="25"/>
      <c r="E149" s="25"/>
      <c r="F149" s="42" t="e">
        <f t="shared" si="10"/>
        <v>#REF!</v>
      </c>
      <c r="G149" s="42" t="e">
        <f t="shared" si="10"/>
        <v>#REF!</v>
      </c>
      <c r="H149" s="43"/>
      <c r="K149" s="31" t="str">
        <f>"""GP"",""Ute Indian Tribe Membership Fund"",""aaa_contract_detail_sp"",""JRNENTRY"",""1577961"",""aaGLHdrID"",""1745824"",""aaGLDistID"",""536"",""aaGLAssignID"",""1"",""contract"",""3460 92 URHS FY2025"""</f>
        <v>"GP","Ute Indian Tribe Membership Fund","aaa_contract_detail_sp","JRNENTRY","1577961","aaGLHdrID","1745824","aaGLDistID","536","aaGLAssignID","1","contract","3460 92 URHS FY2025"</v>
      </c>
      <c r="L149" s="44">
        <v>45603</v>
      </c>
      <c r="M149" s="31">
        <v>1577961</v>
      </c>
      <c r="N149" s="31" t="str">
        <f>""</f>
        <v/>
      </c>
      <c r="O149" s="31" t="str">
        <f>""</f>
        <v/>
      </c>
      <c r="P149" s="31" t="str">
        <f>""</f>
        <v/>
      </c>
      <c r="Q149" s="45" t="str">
        <f>""</f>
        <v/>
      </c>
      <c r="R149" s="46">
        <v>29.48</v>
      </c>
      <c r="S149" s="46">
        <v>0</v>
      </c>
      <c r="T149" s="47">
        <f t="shared" si="9"/>
        <v>29.48</v>
      </c>
    </row>
    <row r="150" spans="1:20" s="31" customFormat="1" x14ac:dyDescent="0.25">
      <c r="A150" s="25" t="s">
        <v>25</v>
      </c>
      <c r="B150" s="42"/>
      <c r="C150" s="42"/>
      <c r="D150" s="25"/>
      <c r="E150" s="25"/>
      <c r="F150" s="42" t="e">
        <f t="shared" si="10"/>
        <v>#REF!</v>
      </c>
      <c r="G150" s="42" t="e">
        <f t="shared" si="10"/>
        <v>#REF!</v>
      </c>
      <c r="H150" s="43"/>
      <c r="K150" s="31" t="str">
        <f>"""GP"",""Ute Indian Tribe Membership Fund"",""aaa_contract_detail_sp"",""JRNENTRY"",""1577961"",""aaGLHdrID"",""1745824"",""aaGLDistID"",""537"",""aaGLAssignID"",""1"",""contract"",""3460 92 URHS FY2025"""</f>
        <v>"GP","Ute Indian Tribe Membership Fund","aaa_contract_detail_sp","JRNENTRY","1577961","aaGLHdrID","1745824","aaGLDistID","537","aaGLAssignID","1","contract","3460 92 URHS FY2025"</v>
      </c>
      <c r="L150" s="44">
        <v>45603</v>
      </c>
      <c r="M150" s="31">
        <v>1577961</v>
      </c>
      <c r="N150" s="31" t="str">
        <f>""</f>
        <v/>
      </c>
      <c r="O150" s="31" t="str">
        <f>""</f>
        <v/>
      </c>
      <c r="P150" s="31" t="str">
        <f>""</f>
        <v/>
      </c>
      <c r="Q150" s="45" t="str">
        <f>""</f>
        <v/>
      </c>
      <c r="R150" s="46">
        <v>65.22</v>
      </c>
      <c r="S150" s="46">
        <v>0</v>
      </c>
      <c r="T150" s="47">
        <f t="shared" si="9"/>
        <v>65.22</v>
      </c>
    </row>
    <row r="151" spans="1:20" s="31" customFormat="1" x14ac:dyDescent="0.25">
      <c r="A151" s="25" t="s">
        <v>25</v>
      </c>
      <c r="B151" s="42"/>
      <c r="C151" s="42"/>
      <c r="D151" s="25"/>
      <c r="E151" s="25"/>
      <c r="F151" s="42" t="e">
        <f t="shared" si="10"/>
        <v>#REF!</v>
      </c>
      <c r="G151" s="42" t="e">
        <f t="shared" si="10"/>
        <v>#REF!</v>
      </c>
      <c r="H151" s="43"/>
      <c r="K151" s="31" t="str">
        <f>"""GP"",""Ute Indian Tribe Membership Fund"",""aaa_contract_detail_sp"",""JRNENTRY"",""1577961"",""aaGLHdrID"",""1745824"",""aaGLDistID"",""538"",""aaGLAssignID"",""1"",""contract"",""3460 92 URHS FY2025"""</f>
        <v>"GP","Ute Indian Tribe Membership Fund","aaa_contract_detail_sp","JRNENTRY","1577961","aaGLHdrID","1745824","aaGLDistID","538","aaGLAssignID","1","contract","3460 92 URHS FY2025"</v>
      </c>
      <c r="L151" s="44">
        <v>45603</v>
      </c>
      <c r="M151" s="31">
        <v>1577961</v>
      </c>
      <c r="N151" s="31" t="str">
        <f>""</f>
        <v/>
      </c>
      <c r="O151" s="31" t="str">
        <f>""</f>
        <v/>
      </c>
      <c r="P151" s="31" t="str">
        <f>""</f>
        <v/>
      </c>
      <c r="Q151" s="45" t="str">
        <f>""</f>
        <v/>
      </c>
      <c r="R151" s="46">
        <v>26.49</v>
      </c>
      <c r="S151" s="46">
        <v>0</v>
      </c>
      <c r="T151" s="47">
        <f t="shared" si="9"/>
        <v>26.49</v>
      </c>
    </row>
    <row r="152" spans="1:20" s="31" customFormat="1" x14ac:dyDescent="0.25">
      <c r="A152" s="25" t="s">
        <v>25</v>
      </c>
      <c r="B152" s="42"/>
      <c r="C152" s="42"/>
      <c r="D152" s="25"/>
      <c r="E152" s="25"/>
      <c r="F152" s="42" t="e">
        <f t="shared" si="10"/>
        <v>#REF!</v>
      </c>
      <c r="G152" s="42" t="e">
        <f t="shared" si="10"/>
        <v>#REF!</v>
      </c>
      <c r="H152" s="43"/>
      <c r="K152" s="31" t="str">
        <f>"""GP"",""Ute Indian Tribe Membership Fund"",""aaa_contract_detail_sp"",""JRNENTRY"",""1577961"",""aaGLHdrID"",""1745824"",""aaGLDistID"",""539"",""aaGLAssignID"",""1"",""contract"",""3460 92 URHS FY2025"""</f>
        <v>"GP","Ute Indian Tribe Membership Fund","aaa_contract_detail_sp","JRNENTRY","1577961","aaGLHdrID","1745824","aaGLDistID","539","aaGLAssignID","1","contract","3460 92 URHS FY2025"</v>
      </c>
      <c r="L152" s="44">
        <v>45603</v>
      </c>
      <c r="M152" s="31">
        <v>1577961</v>
      </c>
      <c r="N152" s="31" t="str">
        <f>""</f>
        <v/>
      </c>
      <c r="O152" s="31" t="str">
        <f>""</f>
        <v/>
      </c>
      <c r="P152" s="31" t="str">
        <f>""</f>
        <v/>
      </c>
      <c r="Q152" s="45" t="str">
        <f>""</f>
        <v/>
      </c>
      <c r="R152" s="46">
        <v>28.52</v>
      </c>
      <c r="S152" s="46">
        <v>0</v>
      </c>
      <c r="T152" s="47">
        <f t="shared" si="9"/>
        <v>28.52</v>
      </c>
    </row>
    <row r="153" spans="1:20" s="31" customFormat="1" x14ac:dyDescent="0.25">
      <c r="A153" s="25" t="s">
        <v>25</v>
      </c>
      <c r="B153" s="42"/>
      <c r="C153" s="42"/>
      <c r="D153" s="25"/>
      <c r="E153" s="25"/>
      <c r="F153" s="42" t="e">
        <f t="shared" si="10"/>
        <v>#REF!</v>
      </c>
      <c r="G153" s="42" t="e">
        <f t="shared" si="10"/>
        <v>#REF!</v>
      </c>
      <c r="H153" s="43"/>
      <c r="K153" s="31" t="str">
        <f>"""GP"",""Ute Indian Tribe Membership Fund"",""aaa_contract_detail_sp"",""JRNENTRY"",""1577961"",""aaGLHdrID"",""1745824"",""aaGLDistID"",""540"",""aaGLAssignID"",""1"",""contract"",""3460 92 URHS FY2025"""</f>
        <v>"GP","Ute Indian Tribe Membership Fund","aaa_contract_detail_sp","JRNENTRY","1577961","aaGLHdrID","1745824","aaGLDistID","540","aaGLAssignID","1","contract","3460 92 URHS FY2025"</v>
      </c>
      <c r="L153" s="44">
        <v>45603</v>
      </c>
      <c r="M153" s="31">
        <v>1577961</v>
      </c>
      <c r="N153" s="31" t="str">
        <f>""</f>
        <v/>
      </c>
      <c r="O153" s="31" t="str">
        <f>""</f>
        <v/>
      </c>
      <c r="P153" s="31" t="str">
        <f>""</f>
        <v/>
      </c>
      <c r="Q153" s="45" t="str">
        <f>""</f>
        <v/>
      </c>
      <c r="R153" s="46">
        <v>25.09</v>
      </c>
      <c r="S153" s="46">
        <v>0</v>
      </c>
      <c r="T153" s="47">
        <f t="shared" si="9"/>
        <v>25.09</v>
      </c>
    </row>
    <row r="154" spans="1:20" s="31" customFormat="1" x14ac:dyDescent="0.25">
      <c r="A154" s="25" t="s">
        <v>25</v>
      </c>
      <c r="B154" s="42"/>
      <c r="C154" s="42"/>
      <c r="D154" s="25"/>
      <c r="E154" s="25"/>
      <c r="F154" s="42" t="e">
        <f t="shared" si="10"/>
        <v>#REF!</v>
      </c>
      <c r="G154" s="42" t="e">
        <f t="shared" si="10"/>
        <v>#REF!</v>
      </c>
      <c r="H154" s="43"/>
      <c r="K154" s="31" t="str">
        <f>"""GP"",""Ute Indian Tribe Membership Fund"",""aaa_contract_detail_sp"",""JRNENTRY"",""1577961"",""aaGLHdrID"",""1745824"",""aaGLDistID"",""541"",""aaGLAssignID"",""1"",""contract"",""3460 92 URHS FY2025"""</f>
        <v>"GP","Ute Indian Tribe Membership Fund","aaa_contract_detail_sp","JRNENTRY","1577961","aaGLHdrID","1745824","aaGLDistID","541","aaGLAssignID","1","contract","3460 92 URHS FY2025"</v>
      </c>
      <c r="L154" s="44">
        <v>45603</v>
      </c>
      <c r="M154" s="31">
        <v>1577961</v>
      </c>
      <c r="N154" s="31" t="str">
        <f>""</f>
        <v/>
      </c>
      <c r="O154" s="31" t="str">
        <f>""</f>
        <v/>
      </c>
      <c r="P154" s="31" t="str">
        <f>""</f>
        <v/>
      </c>
      <c r="Q154" s="45" t="str">
        <f>""</f>
        <v/>
      </c>
      <c r="R154" s="46">
        <v>22.96</v>
      </c>
      <c r="S154" s="46">
        <v>0</v>
      </c>
      <c r="T154" s="47">
        <f t="shared" si="9"/>
        <v>22.96</v>
      </c>
    </row>
    <row r="155" spans="1:20" s="31" customFormat="1" x14ac:dyDescent="0.25">
      <c r="A155" s="25" t="s">
        <v>25</v>
      </c>
      <c r="B155" s="42"/>
      <c r="C155" s="42"/>
      <c r="D155" s="25"/>
      <c r="E155" s="25"/>
      <c r="F155" s="42" t="e">
        <f t="shared" si="10"/>
        <v>#REF!</v>
      </c>
      <c r="G155" s="42" t="e">
        <f t="shared" si="10"/>
        <v>#REF!</v>
      </c>
      <c r="H155" s="43"/>
      <c r="K155" s="31" t="str">
        <f>"""GP"",""Ute Indian Tribe Membership Fund"",""aaa_contract_detail_sp"",""JRNENTRY"",""1574460"",""aaGLHdrID"",""1742186"",""aaGLDistID"",""16"",""aaGLAssignID"",""1"",""contract"",""3460 92 URHS FY2025"""</f>
        <v>"GP","Ute Indian Tribe Membership Fund","aaa_contract_detail_sp","JRNENTRY","1574460","aaGLHdrID","1742186","aaGLDistID","16","aaGLAssignID","1","contract","3460 92 URHS FY2025"</v>
      </c>
      <c r="L155" s="44">
        <v>45617</v>
      </c>
      <c r="M155" s="31">
        <v>1574460</v>
      </c>
      <c r="N155" s="31" t="str">
        <f>""</f>
        <v/>
      </c>
      <c r="O155" s="31" t="str">
        <f>""</f>
        <v/>
      </c>
      <c r="P155" s="31" t="str">
        <f>""</f>
        <v/>
      </c>
      <c r="Q155" s="45" t="str">
        <f>""</f>
        <v/>
      </c>
      <c r="R155" s="46">
        <v>137.54</v>
      </c>
      <c r="S155" s="46">
        <v>0</v>
      </c>
      <c r="T155" s="47">
        <f t="shared" si="9"/>
        <v>137.54</v>
      </c>
    </row>
    <row r="156" spans="1:20" s="31" customFormat="1" x14ac:dyDescent="0.25">
      <c r="A156" s="25" t="s">
        <v>25</v>
      </c>
      <c r="B156" s="42"/>
      <c r="C156" s="42"/>
      <c r="D156" s="25"/>
      <c r="E156" s="25"/>
      <c r="F156" s="42" t="e">
        <f t="shared" si="10"/>
        <v>#REF!</v>
      </c>
      <c r="G156" s="42" t="e">
        <f t="shared" si="10"/>
        <v>#REF!</v>
      </c>
      <c r="H156" s="43"/>
      <c r="K156" s="31" t="str">
        <f>"""GP"",""Ute Indian Tribe Membership Fund"",""aaa_contract_detail_sp"",""JRNENTRY"",""1574460"",""aaGLHdrID"",""1742186"",""aaGLDistID"",""17"",""aaGLAssignID"",""1"",""contract"",""3460 92 URHS FY2025"""</f>
        <v>"GP","Ute Indian Tribe Membership Fund","aaa_contract_detail_sp","JRNENTRY","1574460","aaGLHdrID","1742186","aaGLDistID","17","aaGLAssignID","1","contract","3460 92 URHS FY2025"</v>
      </c>
      <c r="L156" s="44">
        <v>45617</v>
      </c>
      <c r="M156" s="31">
        <v>1574460</v>
      </c>
      <c r="N156" s="31" t="str">
        <f>""</f>
        <v/>
      </c>
      <c r="O156" s="31" t="str">
        <f>""</f>
        <v/>
      </c>
      <c r="P156" s="31" t="str">
        <f>""</f>
        <v/>
      </c>
      <c r="Q156" s="45" t="str">
        <f>""</f>
        <v/>
      </c>
      <c r="R156" s="46">
        <v>32.159999999999997</v>
      </c>
      <c r="S156" s="46">
        <v>0</v>
      </c>
      <c r="T156" s="47">
        <f t="shared" si="9"/>
        <v>32.159999999999997</v>
      </c>
    </row>
    <row r="157" spans="1:20" s="31" customFormat="1" x14ac:dyDescent="0.25">
      <c r="A157" s="25" t="s">
        <v>25</v>
      </c>
      <c r="B157" s="42"/>
      <c r="C157" s="42"/>
      <c r="D157" s="25"/>
      <c r="E157" s="25"/>
      <c r="F157" s="42" t="e">
        <f t="shared" si="10"/>
        <v>#REF!</v>
      </c>
      <c r="G157" s="42" t="e">
        <f t="shared" si="10"/>
        <v>#REF!</v>
      </c>
      <c r="H157" s="43"/>
      <c r="K157" s="31" t="str">
        <f>"""GP"",""Ute Indian Tribe Membership Fund"",""aaa_contract_detail_sp"",""JRNENTRY"",""1574530"",""aaGLHdrID"",""1742256"",""aaGLDistID"",""18"",""aaGLAssignID"",""1"",""contract"",""3460 92 URHS FY2025"""</f>
        <v>"GP","Ute Indian Tribe Membership Fund","aaa_contract_detail_sp","JRNENTRY","1574530","aaGLHdrID","1742256","aaGLDistID","18","aaGLAssignID","1","contract","3460 92 URHS FY2025"</v>
      </c>
      <c r="L157" s="44">
        <v>45617</v>
      </c>
      <c r="M157" s="31">
        <v>1574530</v>
      </c>
      <c r="N157" s="31" t="str">
        <f>""</f>
        <v/>
      </c>
      <c r="O157" s="31" t="str">
        <f>""</f>
        <v/>
      </c>
      <c r="P157" s="31" t="str">
        <f>""</f>
        <v/>
      </c>
      <c r="Q157" s="45" t="str">
        <f>""</f>
        <v/>
      </c>
      <c r="R157" s="46">
        <v>169.51</v>
      </c>
      <c r="S157" s="46">
        <v>0</v>
      </c>
      <c r="T157" s="47">
        <f t="shared" si="9"/>
        <v>169.51</v>
      </c>
    </row>
    <row r="158" spans="1:20" s="31" customFormat="1" x14ac:dyDescent="0.25">
      <c r="A158" s="25" t="s">
        <v>25</v>
      </c>
      <c r="B158" s="42"/>
      <c r="C158" s="42"/>
      <c r="D158" s="25"/>
      <c r="E158" s="25"/>
      <c r="F158" s="42" t="e">
        <f t="shared" si="10"/>
        <v>#REF!</v>
      </c>
      <c r="G158" s="42" t="e">
        <f t="shared" si="10"/>
        <v>#REF!</v>
      </c>
      <c r="H158" s="43"/>
      <c r="K158" s="31" t="str">
        <f>"""GP"",""Ute Indian Tribe Membership Fund"",""aaa_contract_detail_sp"",""JRNENTRY"",""1574530"",""aaGLHdrID"",""1742256"",""aaGLDistID"",""19"",""aaGLAssignID"",""1"",""contract"",""3460 92 URHS FY2025"""</f>
        <v>"GP","Ute Indian Tribe Membership Fund","aaa_contract_detail_sp","JRNENTRY","1574530","aaGLHdrID","1742256","aaGLDistID","19","aaGLAssignID","1","contract","3460 92 URHS FY2025"</v>
      </c>
      <c r="L158" s="44">
        <v>45617</v>
      </c>
      <c r="M158" s="31">
        <v>1574530</v>
      </c>
      <c r="N158" s="31" t="str">
        <f>""</f>
        <v/>
      </c>
      <c r="O158" s="31" t="str">
        <f>""</f>
        <v/>
      </c>
      <c r="P158" s="31" t="str">
        <f>""</f>
        <v/>
      </c>
      <c r="Q158" s="45" t="str">
        <f>""</f>
        <v/>
      </c>
      <c r="R158" s="46">
        <v>39.65</v>
      </c>
      <c r="S158" s="46">
        <v>0</v>
      </c>
      <c r="T158" s="47">
        <f t="shared" si="9"/>
        <v>39.65</v>
      </c>
    </row>
    <row r="159" spans="1:20" s="31" customFormat="1" x14ac:dyDescent="0.25">
      <c r="A159" s="25" t="s">
        <v>25</v>
      </c>
      <c r="B159" s="42"/>
      <c r="C159" s="42"/>
      <c r="D159" s="25"/>
      <c r="E159" s="25"/>
      <c r="F159" s="42" t="e">
        <f t="shared" si="10"/>
        <v>#REF!</v>
      </c>
      <c r="G159" s="42" t="e">
        <f t="shared" si="10"/>
        <v>#REF!</v>
      </c>
      <c r="H159" s="43"/>
      <c r="K159" s="31" t="str">
        <f>"""GP"",""Ute Indian Tribe Membership Fund"",""aaa_contract_detail_sp"",""JRNENTRY"",""1574623"",""aaGLHdrID"",""1742349"",""aaGLDistID"",""17"",""aaGLAssignID"",""1"",""contract"",""3460 92 URHS FY2025"""</f>
        <v>"GP","Ute Indian Tribe Membership Fund","aaa_contract_detail_sp","JRNENTRY","1574623","aaGLHdrID","1742349","aaGLDistID","17","aaGLAssignID","1","contract","3460 92 URHS FY2025"</v>
      </c>
      <c r="L159" s="44">
        <v>45617</v>
      </c>
      <c r="M159" s="31">
        <v>1574623</v>
      </c>
      <c r="N159" s="31" t="str">
        <f>""</f>
        <v/>
      </c>
      <c r="O159" s="31" t="str">
        <f>""</f>
        <v/>
      </c>
      <c r="P159" s="31" t="str">
        <f>""</f>
        <v/>
      </c>
      <c r="Q159" s="45" t="str">
        <f>""</f>
        <v/>
      </c>
      <c r="R159" s="46">
        <v>160.07</v>
      </c>
      <c r="S159" s="46">
        <v>0</v>
      </c>
      <c r="T159" s="47">
        <f t="shared" si="9"/>
        <v>160.07</v>
      </c>
    </row>
    <row r="160" spans="1:20" s="31" customFormat="1" x14ac:dyDescent="0.25">
      <c r="A160" s="25" t="s">
        <v>25</v>
      </c>
      <c r="B160" s="42"/>
      <c r="C160" s="42"/>
      <c r="D160" s="25"/>
      <c r="E160" s="25"/>
      <c r="F160" s="42" t="e">
        <f t="shared" si="10"/>
        <v>#REF!</v>
      </c>
      <c r="G160" s="42" t="e">
        <f t="shared" si="10"/>
        <v>#REF!</v>
      </c>
      <c r="H160" s="43"/>
      <c r="K160" s="31" t="str">
        <f>"""GP"",""Ute Indian Tribe Membership Fund"",""aaa_contract_detail_sp"",""JRNENTRY"",""1574623"",""aaGLHdrID"",""1742349"",""aaGLDistID"",""18"",""aaGLAssignID"",""1"",""contract"",""3460 92 URHS FY2025"""</f>
        <v>"GP","Ute Indian Tribe Membership Fund","aaa_contract_detail_sp","JRNENTRY","1574623","aaGLHdrID","1742349","aaGLDistID","18","aaGLAssignID","1","contract","3460 92 URHS FY2025"</v>
      </c>
      <c r="L160" s="44">
        <v>45617</v>
      </c>
      <c r="M160" s="31">
        <v>1574623</v>
      </c>
      <c r="N160" s="31" t="str">
        <f>""</f>
        <v/>
      </c>
      <c r="O160" s="31" t="str">
        <f>""</f>
        <v/>
      </c>
      <c r="P160" s="31" t="str">
        <f>""</f>
        <v/>
      </c>
      <c r="Q160" s="45" t="str">
        <f>""</f>
        <v/>
      </c>
      <c r="R160" s="46">
        <v>37.44</v>
      </c>
      <c r="S160" s="46">
        <v>0</v>
      </c>
      <c r="T160" s="47">
        <f t="shared" si="9"/>
        <v>37.44</v>
      </c>
    </row>
    <row r="161" spans="1:20" s="31" customFormat="1" x14ac:dyDescent="0.25">
      <c r="A161" s="25" t="s">
        <v>25</v>
      </c>
      <c r="B161" s="42"/>
      <c r="C161" s="42"/>
      <c r="D161" s="25"/>
      <c r="E161" s="25"/>
      <c r="F161" s="42" t="e">
        <f t="shared" si="10"/>
        <v>#REF!</v>
      </c>
      <c r="G161" s="42" t="e">
        <f t="shared" si="10"/>
        <v>#REF!</v>
      </c>
      <c r="H161" s="43"/>
      <c r="K161" s="31" t="str">
        <f>"""GP"",""Ute Indian Tribe Membership Fund"",""aaa_contract_detail_sp"",""JRNENTRY"",""1574628"",""aaGLHdrID"",""1742354"",""aaGLDistID"",""18"",""aaGLAssignID"",""1"",""contract"",""3460 92 URHS FY2025"""</f>
        <v>"GP","Ute Indian Tribe Membership Fund","aaa_contract_detail_sp","JRNENTRY","1574628","aaGLHdrID","1742354","aaGLDistID","18","aaGLAssignID","1","contract","3460 92 URHS FY2025"</v>
      </c>
      <c r="L161" s="44">
        <v>45617</v>
      </c>
      <c r="M161" s="31">
        <v>1574628</v>
      </c>
      <c r="N161" s="31" t="str">
        <f>""</f>
        <v/>
      </c>
      <c r="O161" s="31" t="str">
        <f>""</f>
        <v/>
      </c>
      <c r="P161" s="31" t="str">
        <f>""</f>
        <v/>
      </c>
      <c r="Q161" s="45" t="str">
        <f>""</f>
        <v/>
      </c>
      <c r="R161" s="46">
        <v>394.82</v>
      </c>
      <c r="S161" s="46">
        <v>0</v>
      </c>
      <c r="T161" s="47">
        <f t="shared" si="9"/>
        <v>394.82</v>
      </c>
    </row>
    <row r="162" spans="1:20" s="31" customFormat="1" x14ac:dyDescent="0.25">
      <c r="A162" s="25" t="s">
        <v>25</v>
      </c>
      <c r="B162" s="42"/>
      <c r="C162" s="42"/>
      <c r="D162" s="25"/>
      <c r="E162" s="25"/>
      <c r="F162" s="42" t="e">
        <f t="shared" ref="F162:G225" si="11">F161</f>
        <v>#REF!</v>
      </c>
      <c r="G162" s="42" t="e">
        <f t="shared" si="11"/>
        <v>#REF!</v>
      </c>
      <c r="H162" s="43"/>
      <c r="K162" s="31" t="str">
        <f>"""GP"",""Ute Indian Tribe Membership Fund"",""aaa_contract_detail_sp"",""JRNENTRY"",""1574628"",""aaGLHdrID"",""1742354"",""aaGLDistID"",""19"",""aaGLAssignID"",""1"",""contract"",""3460 92 URHS FY2025"""</f>
        <v>"GP","Ute Indian Tribe Membership Fund","aaa_contract_detail_sp","JRNENTRY","1574628","aaGLHdrID","1742354","aaGLDistID","19","aaGLAssignID","1","contract","3460 92 URHS FY2025"</v>
      </c>
      <c r="L162" s="44">
        <v>45617</v>
      </c>
      <c r="M162" s="31">
        <v>1574628</v>
      </c>
      <c r="N162" s="31" t="str">
        <f>""</f>
        <v/>
      </c>
      <c r="O162" s="31" t="str">
        <f>""</f>
        <v/>
      </c>
      <c r="P162" s="31" t="str">
        <f>""</f>
        <v/>
      </c>
      <c r="Q162" s="45" t="str">
        <f>""</f>
        <v/>
      </c>
      <c r="R162" s="46">
        <v>92.34</v>
      </c>
      <c r="S162" s="46">
        <v>0</v>
      </c>
      <c r="T162" s="47">
        <f t="shared" ref="T162:T225" si="12">SUM(R162:S162)</f>
        <v>92.34</v>
      </c>
    </row>
    <row r="163" spans="1:20" s="31" customFormat="1" x14ac:dyDescent="0.25">
      <c r="A163" s="25" t="s">
        <v>25</v>
      </c>
      <c r="B163" s="42"/>
      <c r="C163" s="42"/>
      <c r="D163" s="25"/>
      <c r="E163" s="25"/>
      <c r="F163" s="42" t="e">
        <f t="shared" si="11"/>
        <v>#REF!</v>
      </c>
      <c r="G163" s="42" t="e">
        <f t="shared" si="11"/>
        <v>#REF!</v>
      </c>
      <c r="H163" s="43"/>
      <c r="K163" s="31" t="str">
        <f>"""GP"",""Ute Indian Tribe Membership Fund"",""aaa_contract_detail_sp"",""JRNENTRY"",""1574669"",""aaGLHdrID"",""1742395"",""aaGLDistID"",""15"",""aaGLAssignID"",""1"",""contract"",""3460 92 URHS FY2025"""</f>
        <v>"GP","Ute Indian Tribe Membership Fund","aaa_contract_detail_sp","JRNENTRY","1574669","aaGLHdrID","1742395","aaGLDistID","15","aaGLAssignID","1","contract","3460 92 URHS FY2025"</v>
      </c>
      <c r="L163" s="44">
        <v>45617</v>
      </c>
      <c r="M163" s="31">
        <v>1574669</v>
      </c>
      <c r="N163" s="31" t="str">
        <f>""</f>
        <v/>
      </c>
      <c r="O163" s="31" t="str">
        <f>""</f>
        <v/>
      </c>
      <c r="P163" s="31" t="str">
        <f>""</f>
        <v/>
      </c>
      <c r="Q163" s="45" t="str">
        <f>""</f>
        <v/>
      </c>
      <c r="R163" s="46">
        <v>159.44</v>
      </c>
      <c r="S163" s="46">
        <v>0</v>
      </c>
      <c r="T163" s="47">
        <f t="shared" si="12"/>
        <v>159.44</v>
      </c>
    </row>
    <row r="164" spans="1:20" s="31" customFormat="1" x14ac:dyDescent="0.25">
      <c r="A164" s="25" t="s">
        <v>25</v>
      </c>
      <c r="B164" s="42"/>
      <c r="C164" s="42"/>
      <c r="D164" s="25"/>
      <c r="E164" s="25"/>
      <c r="F164" s="42" t="e">
        <f t="shared" si="11"/>
        <v>#REF!</v>
      </c>
      <c r="G164" s="42" t="e">
        <f t="shared" si="11"/>
        <v>#REF!</v>
      </c>
      <c r="H164" s="43"/>
      <c r="K164" s="31" t="str">
        <f>"""GP"",""Ute Indian Tribe Membership Fund"",""aaa_contract_detail_sp"",""JRNENTRY"",""1574669"",""aaGLHdrID"",""1742395"",""aaGLDistID"",""16"",""aaGLAssignID"",""1"",""contract"",""3460 92 URHS FY2025"""</f>
        <v>"GP","Ute Indian Tribe Membership Fund","aaa_contract_detail_sp","JRNENTRY","1574669","aaGLHdrID","1742395","aaGLDistID","16","aaGLAssignID","1","contract","3460 92 URHS FY2025"</v>
      </c>
      <c r="L164" s="44">
        <v>45617</v>
      </c>
      <c r="M164" s="31">
        <v>1574669</v>
      </c>
      <c r="N164" s="31" t="str">
        <f>""</f>
        <v/>
      </c>
      <c r="O164" s="31" t="str">
        <f>""</f>
        <v/>
      </c>
      <c r="P164" s="31" t="str">
        <f>""</f>
        <v/>
      </c>
      <c r="Q164" s="45" t="str">
        <f>""</f>
        <v/>
      </c>
      <c r="R164" s="46">
        <v>37.29</v>
      </c>
      <c r="S164" s="46">
        <v>0</v>
      </c>
      <c r="T164" s="47">
        <f t="shared" si="12"/>
        <v>37.29</v>
      </c>
    </row>
    <row r="165" spans="1:20" s="31" customFormat="1" x14ac:dyDescent="0.25">
      <c r="A165" s="25" t="s">
        <v>25</v>
      </c>
      <c r="B165" s="42"/>
      <c r="C165" s="42"/>
      <c r="D165" s="25"/>
      <c r="E165" s="25"/>
      <c r="F165" s="42" t="e">
        <f t="shared" si="11"/>
        <v>#REF!</v>
      </c>
      <c r="G165" s="42" t="e">
        <f t="shared" si="11"/>
        <v>#REF!</v>
      </c>
      <c r="H165" s="43"/>
      <c r="K165" s="31" t="str">
        <f>"""GP"",""Ute Indian Tribe Membership Fund"",""aaa_contract_detail_sp"",""JRNENTRY"",""1574670"",""aaGLHdrID"",""1742396"",""aaGLDistID"",""15"",""aaGLAssignID"",""1"",""contract"",""3460 92 URHS FY2025"""</f>
        <v>"GP","Ute Indian Tribe Membership Fund","aaa_contract_detail_sp","JRNENTRY","1574670","aaGLHdrID","1742396","aaGLDistID","15","aaGLAssignID","1","contract","3460 92 URHS FY2025"</v>
      </c>
      <c r="L165" s="44">
        <v>45617</v>
      </c>
      <c r="M165" s="31">
        <v>1574670</v>
      </c>
      <c r="N165" s="31" t="str">
        <f>""</f>
        <v/>
      </c>
      <c r="O165" s="31" t="str">
        <f>""</f>
        <v/>
      </c>
      <c r="P165" s="31" t="str">
        <f>""</f>
        <v/>
      </c>
      <c r="Q165" s="45" t="str">
        <f>""</f>
        <v/>
      </c>
      <c r="R165" s="46">
        <v>169.75</v>
      </c>
      <c r="S165" s="46">
        <v>0</v>
      </c>
      <c r="T165" s="47">
        <f t="shared" si="12"/>
        <v>169.75</v>
      </c>
    </row>
    <row r="166" spans="1:20" s="31" customFormat="1" x14ac:dyDescent="0.25">
      <c r="A166" s="25" t="s">
        <v>25</v>
      </c>
      <c r="B166" s="42"/>
      <c r="C166" s="42"/>
      <c r="D166" s="25"/>
      <c r="E166" s="25"/>
      <c r="F166" s="42" t="e">
        <f t="shared" si="11"/>
        <v>#REF!</v>
      </c>
      <c r="G166" s="42" t="e">
        <f t="shared" si="11"/>
        <v>#REF!</v>
      </c>
      <c r="H166" s="43"/>
      <c r="K166" s="31" t="str">
        <f>"""GP"",""Ute Indian Tribe Membership Fund"",""aaa_contract_detail_sp"",""JRNENTRY"",""1574670"",""aaGLHdrID"",""1742396"",""aaGLDistID"",""16"",""aaGLAssignID"",""1"",""contract"",""3460 92 URHS FY2025"""</f>
        <v>"GP","Ute Indian Tribe Membership Fund","aaa_contract_detail_sp","JRNENTRY","1574670","aaGLHdrID","1742396","aaGLDistID","16","aaGLAssignID","1","contract","3460 92 URHS FY2025"</v>
      </c>
      <c r="L166" s="44">
        <v>45617</v>
      </c>
      <c r="M166" s="31">
        <v>1574670</v>
      </c>
      <c r="N166" s="31" t="str">
        <f>""</f>
        <v/>
      </c>
      <c r="O166" s="31" t="str">
        <f>""</f>
        <v/>
      </c>
      <c r="P166" s="31" t="str">
        <f>""</f>
        <v/>
      </c>
      <c r="Q166" s="45" t="str">
        <f>""</f>
        <v/>
      </c>
      <c r="R166" s="46">
        <v>39.700000000000003</v>
      </c>
      <c r="S166" s="46">
        <v>0</v>
      </c>
      <c r="T166" s="47">
        <f t="shared" si="12"/>
        <v>39.700000000000003</v>
      </c>
    </row>
    <row r="167" spans="1:20" s="31" customFormat="1" x14ac:dyDescent="0.25">
      <c r="A167" s="25" t="s">
        <v>25</v>
      </c>
      <c r="B167" s="42"/>
      <c r="C167" s="42"/>
      <c r="D167" s="25"/>
      <c r="E167" s="25"/>
      <c r="F167" s="42" t="e">
        <f t="shared" si="11"/>
        <v>#REF!</v>
      </c>
      <c r="G167" s="42" t="e">
        <f t="shared" si="11"/>
        <v>#REF!</v>
      </c>
      <c r="H167" s="43"/>
      <c r="K167" s="31" t="str">
        <f>"""GP"",""Ute Indian Tribe Membership Fund"",""aaa_contract_detail_sp"",""JRNENTRY"",""1574764"",""aaGLHdrID"",""1742490"",""aaGLDistID"",""14"",""aaGLAssignID"",""1"",""contract"",""3460 92 URHS FY2025"""</f>
        <v>"GP","Ute Indian Tribe Membership Fund","aaa_contract_detail_sp","JRNENTRY","1574764","aaGLHdrID","1742490","aaGLDistID","14","aaGLAssignID","1","contract","3460 92 URHS FY2025"</v>
      </c>
      <c r="L167" s="44">
        <v>45617</v>
      </c>
      <c r="M167" s="31">
        <v>1574764</v>
      </c>
      <c r="N167" s="31" t="str">
        <f>""</f>
        <v/>
      </c>
      <c r="O167" s="31" t="str">
        <f>""</f>
        <v/>
      </c>
      <c r="P167" s="31" t="str">
        <f>""</f>
        <v/>
      </c>
      <c r="Q167" s="45" t="str">
        <f>""</f>
        <v/>
      </c>
      <c r="R167" s="46">
        <v>155.55000000000001</v>
      </c>
      <c r="S167" s="46">
        <v>0</v>
      </c>
      <c r="T167" s="47">
        <f t="shared" si="12"/>
        <v>155.55000000000001</v>
      </c>
    </row>
    <row r="168" spans="1:20" s="31" customFormat="1" x14ac:dyDescent="0.25">
      <c r="A168" s="25" t="s">
        <v>25</v>
      </c>
      <c r="B168" s="42"/>
      <c r="C168" s="42"/>
      <c r="D168" s="25"/>
      <c r="E168" s="25"/>
      <c r="F168" s="42" t="e">
        <f t="shared" si="11"/>
        <v>#REF!</v>
      </c>
      <c r="G168" s="42" t="e">
        <f t="shared" si="11"/>
        <v>#REF!</v>
      </c>
      <c r="H168" s="43"/>
      <c r="K168" s="31" t="str">
        <f>"""GP"",""Ute Indian Tribe Membership Fund"",""aaa_contract_detail_sp"",""JRNENTRY"",""1574764"",""aaGLHdrID"",""1742490"",""aaGLDistID"",""15"",""aaGLAssignID"",""1"",""contract"",""3460 92 URHS FY2025"""</f>
        <v>"GP","Ute Indian Tribe Membership Fund","aaa_contract_detail_sp","JRNENTRY","1574764","aaGLHdrID","1742490","aaGLDistID","15","aaGLAssignID","1","contract","3460 92 URHS FY2025"</v>
      </c>
      <c r="L168" s="44">
        <v>45617</v>
      </c>
      <c r="M168" s="31">
        <v>1574764</v>
      </c>
      <c r="N168" s="31" t="str">
        <f>""</f>
        <v/>
      </c>
      <c r="O168" s="31" t="str">
        <f>""</f>
        <v/>
      </c>
      <c r="P168" s="31" t="str">
        <f>""</f>
        <v/>
      </c>
      <c r="Q168" s="45" t="str">
        <f>""</f>
        <v/>
      </c>
      <c r="R168" s="46">
        <v>36.380000000000003</v>
      </c>
      <c r="S168" s="46">
        <v>0</v>
      </c>
      <c r="T168" s="47">
        <f t="shared" si="12"/>
        <v>36.380000000000003</v>
      </c>
    </row>
    <row r="169" spans="1:20" s="31" customFormat="1" x14ac:dyDescent="0.25">
      <c r="A169" s="25" t="s">
        <v>25</v>
      </c>
      <c r="B169" s="42"/>
      <c r="C169" s="42"/>
      <c r="D169" s="25"/>
      <c r="E169" s="25"/>
      <c r="F169" s="42" t="e">
        <f t="shared" si="11"/>
        <v>#REF!</v>
      </c>
      <c r="G169" s="42" t="e">
        <f t="shared" si="11"/>
        <v>#REF!</v>
      </c>
      <c r="H169" s="43"/>
      <c r="K169" s="31" t="str">
        <f>"""GP"",""Ute Indian Tribe Membership Fund"",""aaa_contract_detail_sp"",""JRNENTRY"",""1574845"",""aaGLHdrID"",""1742571"",""aaGLDistID"",""13"",""aaGLAssignID"",""1"",""contract"",""3460 92 URHS FY2025"""</f>
        <v>"GP","Ute Indian Tribe Membership Fund","aaa_contract_detail_sp","JRNENTRY","1574845","aaGLHdrID","1742571","aaGLDistID","13","aaGLAssignID","1","contract","3460 92 URHS FY2025"</v>
      </c>
      <c r="L169" s="44">
        <v>45617</v>
      </c>
      <c r="M169" s="31">
        <v>1574845</v>
      </c>
      <c r="N169" s="31" t="str">
        <f>""</f>
        <v/>
      </c>
      <c r="O169" s="31" t="str">
        <f>""</f>
        <v/>
      </c>
      <c r="P169" s="31" t="str">
        <f>""</f>
        <v/>
      </c>
      <c r="Q169" s="45" t="str">
        <f>""</f>
        <v/>
      </c>
      <c r="R169" s="46">
        <v>82.93</v>
      </c>
      <c r="S169" s="46">
        <v>0</v>
      </c>
      <c r="T169" s="47">
        <f t="shared" si="12"/>
        <v>82.93</v>
      </c>
    </row>
    <row r="170" spans="1:20" s="31" customFormat="1" x14ac:dyDescent="0.25">
      <c r="A170" s="25" t="s">
        <v>25</v>
      </c>
      <c r="B170" s="42"/>
      <c r="C170" s="42"/>
      <c r="D170" s="25"/>
      <c r="E170" s="25"/>
      <c r="F170" s="42" t="e">
        <f t="shared" si="11"/>
        <v>#REF!</v>
      </c>
      <c r="G170" s="42" t="e">
        <f t="shared" si="11"/>
        <v>#REF!</v>
      </c>
      <c r="H170" s="43"/>
      <c r="K170" s="31" t="str">
        <f>"""GP"",""Ute Indian Tribe Membership Fund"",""aaa_contract_detail_sp"",""JRNENTRY"",""1574845"",""aaGLHdrID"",""1742571"",""aaGLDistID"",""14"",""aaGLAssignID"",""1"",""contract"",""3460 92 URHS FY2025"""</f>
        <v>"GP","Ute Indian Tribe Membership Fund","aaa_contract_detail_sp","JRNENTRY","1574845","aaGLHdrID","1742571","aaGLDistID","14","aaGLAssignID","1","contract","3460 92 URHS FY2025"</v>
      </c>
      <c r="L170" s="44">
        <v>45617</v>
      </c>
      <c r="M170" s="31">
        <v>1574845</v>
      </c>
      <c r="N170" s="31" t="str">
        <f>""</f>
        <v/>
      </c>
      <c r="O170" s="31" t="str">
        <f>""</f>
        <v/>
      </c>
      <c r="P170" s="31" t="str">
        <f>""</f>
        <v/>
      </c>
      <c r="Q170" s="45" t="str">
        <f>""</f>
        <v/>
      </c>
      <c r="R170" s="46">
        <v>19.39</v>
      </c>
      <c r="S170" s="46">
        <v>0</v>
      </c>
      <c r="T170" s="47">
        <f t="shared" si="12"/>
        <v>19.39</v>
      </c>
    </row>
    <row r="171" spans="1:20" s="31" customFormat="1" x14ac:dyDescent="0.25">
      <c r="A171" s="25" t="s">
        <v>25</v>
      </c>
      <c r="B171" s="42"/>
      <c r="C171" s="42"/>
      <c r="D171" s="25"/>
      <c r="E171" s="25"/>
      <c r="F171" s="42" t="e">
        <f t="shared" si="11"/>
        <v>#REF!</v>
      </c>
      <c r="G171" s="42" t="e">
        <f t="shared" si="11"/>
        <v>#REF!</v>
      </c>
      <c r="H171" s="43"/>
      <c r="K171" s="31" t="str">
        <f>"""GP"",""Ute Indian Tribe Membership Fund"",""aaa_contract_detail_sp"",""JRNENTRY"",""1574849"",""aaGLHdrID"",""1742575"",""aaGLDistID"",""17"",""aaGLAssignID"",""1"",""contract"",""3460 92 URHS FY2025"""</f>
        <v>"GP","Ute Indian Tribe Membership Fund","aaa_contract_detail_sp","JRNENTRY","1574849","aaGLHdrID","1742575","aaGLDistID","17","aaGLAssignID","1","contract","3460 92 URHS FY2025"</v>
      </c>
      <c r="L171" s="44">
        <v>45617</v>
      </c>
      <c r="M171" s="31">
        <v>1574849</v>
      </c>
      <c r="N171" s="31" t="str">
        <f>""</f>
        <v/>
      </c>
      <c r="O171" s="31" t="str">
        <f>""</f>
        <v/>
      </c>
      <c r="P171" s="31" t="str">
        <f>""</f>
        <v/>
      </c>
      <c r="Q171" s="45" t="str">
        <f>""</f>
        <v/>
      </c>
      <c r="R171" s="46">
        <v>90.07</v>
      </c>
      <c r="S171" s="46">
        <v>0</v>
      </c>
      <c r="T171" s="47">
        <f t="shared" si="12"/>
        <v>90.07</v>
      </c>
    </row>
    <row r="172" spans="1:20" s="31" customFormat="1" x14ac:dyDescent="0.25">
      <c r="A172" s="25" t="s">
        <v>25</v>
      </c>
      <c r="B172" s="42"/>
      <c r="C172" s="42"/>
      <c r="D172" s="25"/>
      <c r="E172" s="25"/>
      <c r="F172" s="42" t="e">
        <f t="shared" si="11"/>
        <v>#REF!</v>
      </c>
      <c r="G172" s="42" t="e">
        <f t="shared" si="11"/>
        <v>#REF!</v>
      </c>
      <c r="H172" s="43"/>
      <c r="K172" s="31" t="str">
        <f>"""GP"",""Ute Indian Tribe Membership Fund"",""aaa_contract_detail_sp"",""JRNENTRY"",""1574849"",""aaGLHdrID"",""1742575"",""aaGLDistID"",""18"",""aaGLAssignID"",""1"",""contract"",""3460 92 URHS FY2025"""</f>
        <v>"GP","Ute Indian Tribe Membership Fund","aaa_contract_detail_sp","JRNENTRY","1574849","aaGLHdrID","1742575","aaGLDistID","18","aaGLAssignID","1","contract","3460 92 URHS FY2025"</v>
      </c>
      <c r="L172" s="44">
        <v>45617</v>
      </c>
      <c r="M172" s="31">
        <v>1574849</v>
      </c>
      <c r="N172" s="31" t="str">
        <f>""</f>
        <v/>
      </c>
      <c r="O172" s="31" t="str">
        <f>""</f>
        <v/>
      </c>
      <c r="P172" s="31" t="str">
        <f>""</f>
        <v/>
      </c>
      <c r="Q172" s="45" t="str">
        <f>""</f>
        <v/>
      </c>
      <c r="R172" s="46">
        <v>21.06</v>
      </c>
      <c r="S172" s="46">
        <v>0</v>
      </c>
      <c r="T172" s="47">
        <f t="shared" si="12"/>
        <v>21.06</v>
      </c>
    </row>
    <row r="173" spans="1:20" s="31" customFormat="1" x14ac:dyDescent="0.25">
      <c r="A173" s="25" t="s">
        <v>25</v>
      </c>
      <c r="B173" s="42"/>
      <c r="C173" s="42"/>
      <c r="D173" s="25"/>
      <c r="E173" s="25"/>
      <c r="F173" s="42" t="e">
        <f t="shared" si="11"/>
        <v>#REF!</v>
      </c>
      <c r="G173" s="42" t="e">
        <f t="shared" si="11"/>
        <v>#REF!</v>
      </c>
      <c r="H173" s="43"/>
      <c r="K173" s="31" t="str">
        <f>"""GP"",""Ute Indian Tribe Membership Fund"",""aaa_contract_detail_sp"",""JRNENTRY"",""1577962"",""aaGLHdrID"",""1746302"",""aaGLDistID"",""28"",""aaGLAssignID"",""1"",""contract"",""3460 92 URHS FY2025"""</f>
        <v>"GP","Ute Indian Tribe Membership Fund","aaa_contract_detail_sp","JRNENTRY","1577962","aaGLHdrID","1746302","aaGLDistID","28","aaGLAssignID","1","contract","3460 92 URHS FY2025"</v>
      </c>
      <c r="L173" s="44">
        <v>45617</v>
      </c>
      <c r="M173" s="31">
        <v>1577962</v>
      </c>
      <c r="N173" s="31" t="str">
        <f>""</f>
        <v/>
      </c>
      <c r="O173" s="31" t="str">
        <f>""</f>
        <v/>
      </c>
      <c r="P173" s="31" t="str">
        <f>""</f>
        <v/>
      </c>
      <c r="Q173" s="45" t="str">
        <f>""</f>
        <v/>
      </c>
      <c r="R173" s="46">
        <v>35.25</v>
      </c>
      <c r="S173" s="46">
        <v>0</v>
      </c>
      <c r="T173" s="47">
        <f t="shared" si="12"/>
        <v>35.25</v>
      </c>
    </row>
    <row r="174" spans="1:20" s="31" customFormat="1" x14ac:dyDescent="0.25">
      <c r="A174" s="25" t="s">
        <v>25</v>
      </c>
      <c r="B174" s="42"/>
      <c r="C174" s="42"/>
      <c r="D174" s="25"/>
      <c r="E174" s="25"/>
      <c r="F174" s="42" t="e">
        <f t="shared" si="11"/>
        <v>#REF!</v>
      </c>
      <c r="G174" s="42" t="e">
        <f t="shared" si="11"/>
        <v>#REF!</v>
      </c>
      <c r="H174" s="43"/>
      <c r="K174" s="31" t="str">
        <f>"""GP"",""Ute Indian Tribe Membership Fund"",""aaa_contract_detail_sp"",""JRNENTRY"",""1577962"",""aaGLHdrID"",""1746302"",""aaGLDistID"",""29"",""aaGLAssignID"",""1"",""contract"",""3460 92 URHS FY2025"""</f>
        <v>"GP","Ute Indian Tribe Membership Fund","aaa_contract_detail_sp","JRNENTRY","1577962","aaGLHdrID","1746302","aaGLDistID","29","aaGLAssignID","1","contract","3460 92 URHS FY2025"</v>
      </c>
      <c r="L174" s="44">
        <v>45617</v>
      </c>
      <c r="M174" s="31">
        <v>1577962</v>
      </c>
      <c r="N174" s="31" t="str">
        <f>""</f>
        <v/>
      </c>
      <c r="O174" s="31" t="str">
        <f>""</f>
        <v/>
      </c>
      <c r="P174" s="31" t="str">
        <f>""</f>
        <v/>
      </c>
      <c r="Q174" s="45" t="str">
        <f>""</f>
        <v/>
      </c>
      <c r="R174" s="46">
        <v>2.21</v>
      </c>
      <c r="S174" s="46">
        <v>0</v>
      </c>
      <c r="T174" s="47">
        <f t="shared" si="12"/>
        <v>2.21</v>
      </c>
    </row>
    <row r="175" spans="1:20" s="31" customFormat="1" x14ac:dyDescent="0.25">
      <c r="A175" s="25" t="s">
        <v>25</v>
      </c>
      <c r="B175" s="42"/>
      <c r="C175" s="42"/>
      <c r="D175" s="25"/>
      <c r="E175" s="25"/>
      <c r="F175" s="42" t="e">
        <f t="shared" si="11"/>
        <v>#REF!</v>
      </c>
      <c r="G175" s="42" t="e">
        <f t="shared" si="11"/>
        <v>#REF!</v>
      </c>
      <c r="H175" s="43"/>
      <c r="K175" s="31" t="str">
        <f>"""GP"",""Ute Indian Tribe Membership Fund"",""aaa_contract_detail_sp"",""JRNENTRY"",""1577962"",""aaGLHdrID"",""1746302"",""aaGLDistID"",""532"",""aaGLAssignID"",""1"",""contract"",""3460 92 URHS FY2025"""</f>
        <v>"GP","Ute Indian Tribe Membership Fund","aaa_contract_detail_sp","JRNENTRY","1577962","aaGLHdrID","1746302","aaGLDistID","532","aaGLAssignID","1","contract","3460 92 URHS FY2025"</v>
      </c>
      <c r="L175" s="44">
        <v>45617</v>
      </c>
      <c r="M175" s="31">
        <v>1577962</v>
      </c>
      <c r="N175" s="31" t="str">
        <f>""</f>
        <v/>
      </c>
      <c r="O175" s="31" t="str">
        <f>""</f>
        <v/>
      </c>
      <c r="P175" s="31" t="str">
        <f>""</f>
        <v/>
      </c>
      <c r="Q175" s="45" t="str">
        <f>""</f>
        <v/>
      </c>
      <c r="R175" s="46">
        <v>64.86</v>
      </c>
      <c r="S175" s="46">
        <v>0</v>
      </c>
      <c r="T175" s="47">
        <f t="shared" si="12"/>
        <v>64.86</v>
      </c>
    </row>
    <row r="176" spans="1:20" s="31" customFormat="1" x14ac:dyDescent="0.25">
      <c r="A176" s="25" t="s">
        <v>25</v>
      </c>
      <c r="B176" s="42"/>
      <c r="C176" s="42"/>
      <c r="D176" s="25"/>
      <c r="E176" s="25"/>
      <c r="F176" s="42" t="e">
        <f t="shared" si="11"/>
        <v>#REF!</v>
      </c>
      <c r="G176" s="42" t="e">
        <f t="shared" si="11"/>
        <v>#REF!</v>
      </c>
      <c r="H176" s="43"/>
      <c r="K176" s="31" t="str">
        <f>"""GP"",""Ute Indian Tribe Membership Fund"",""aaa_contract_detail_sp"",""JRNENTRY"",""1577962"",""aaGLHdrID"",""1746302"",""aaGLDistID"",""533"",""aaGLAssignID"",""1"",""contract"",""3460 92 URHS FY2025"""</f>
        <v>"GP","Ute Indian Tribe Membership Fund","aaa_contract_detail_sp","JRNENTRY","1577962","aaGLHdrID","1746302","aaGLDistID","533","aaGLAssignID","1","contract","3460 92 URHS FY2025"</v>
      </c>
      <c r="L176" s="44">
        <v>45617</v>
      </c>
      <c r="M176" s="31">
        <v>1577962</v>
      </c>
      <c r="N176" s="31" t="str">
        <f>""</f>
        <v/>
      </c>
      <c r="O176" s="31" t="str">
        <f>""</f>
        <v/>
      </c>
      <c r="P176" s="31" t="str">
        <f>""</f>
        <v/>
      </c>
      <c r="Q176" s="45" t="str">
        <f>""</f>
        <v/>
      </c>
      <c r="R176" s="46">
        <v>27.38</v>
      </c>
      <c r="S176" s="46">
        <v>0</v>
      </c>
      <c r="T176" s="47">
        <f t="shared" si="12"/>
        <v>27.38</v>
      </c>
    </row>
    <row r="177" spans="1:20" s="31" customFormat="1" x14ac:dyDescent="0.25">
      <c r="A177" s="25" t="s">
        <v>25</v>
      </c>
      <c r="B177" s="42"/>
      <c r="C177" s="42"/>
      <c r="D177" s="25"/>
      <c r="E177" s="25"/>
      <c r="F177" s="42" t="e">
        <f t="shared" si="11"/>
        <v>#REF!</v>
      </c>
      <c r="G177" s="42" t="e">
        <f t="shared" si="11"/>
        <v>#REF!</v>
      </c>
      <c r="H177" s="43"/>
      <c r="K177" s="31" t="str">
        <f>"""GP"",""Ute Indian Tribe Membership Fund"",""aaa_contract_detail_sp"",""JRNENTRY"",""1577962"",""aaGLHdrID"",""1746302"",""aaGLDistID"",""534"",""aaGLAssignID"",""1"",""contract"",""3460 92 URHS FY2025"""</f>
        <v>"GP","Ute Indian Tribe Membership Fund","aaa_contract_detail_sp","JRNENTRY","1577962","aaGLHdrID","1746302","aaGLDistID","534","aaGLAssignID","1","contract","3460 92 URHS FY2025"</v>
      </c>
      <c r="L177" s="44">
        <v>45617</v>
      </c>
      <c r="M177" s="31">
        <v>1577962</v>
      </c>
      <c r="N177" s="31" t="str">
        <f>""</f>
        <v/>
      </c>
      <c r="O177" s="31" t="str">
        <f>""</f>
        <v/>
      </c>
      <c r="P177" s="31" t="str">
        <f>""</f>
        <v/>
      </c>
      <c r="Q177" s="45" t="str">
        <f>""</f>
        <v/>
      </c>
      <c r="R177" s="46">
        <v>56.85</v>
      </c>
      <c r="S177" s="46">
        <v>0</v>
      </c>
      <c r="T177" s="47">
        <f t="shared" si="12"/>
        <v>56.85</v>
      </c>
    </row>
    <row r="178" spans="1:20" s="31" customFormat="1" x14ac:dyDescent="0.25">
      <c r="A178" s="25" t="s">
        <v>25</v>
      </c>
      <c r="B178" s="42"/>
      <c r="C178" s="42"/>
      <c r="D178" s="25"/>
      <c r="E178" s="25"/>
      <c r="F178" s="42" t="e">
        <f t="shared" si="11"/>
        <v>#REF!</v>
      </c>
      <c r="G178" s="42" t="e">
        <f t="shared" si="11"/>
        <v>#REF!</v>
      </c>
      <c r="H178" s="43"/>
      <c r="K178" s="31" t="str">
        <f>"""GP"",""Ute Indian Tribe Membership Fund"",""aaa_contract_detail_sp"",""JRNENTRY"",""1577962"",""aaGLHdrID"",""1746302"",""aaGLDistID"",""535"",""aaGLAssignID"",""1"",""contract"",""3460 92 URHS FY2025"""</f>
        <v>"GP","Ute Indian Tribe Membership Fund","aaa_contract_detail_sp","JRNENTRY","1577962","aaGLHdrID","1746302","aaGLDistID","535","aaGLAssignID","1","contract","3460 92 URHS FY2025"</v>
      </c>
      <c r="L178" s="44">
        <v>45617</v>
      </c>
      <c r="M178" s="31">
        <v>1577962</v>
      </c>
      <c r="N178" s="31" t="str">
        <f>""</f>
        <v/>
      </c>
      <c r="O178" s="31" t="str">
        <f>""</f>
        <v/>
      </c>
      <c r="P178" s="31" t="str">
        <f>""</f>
        <v/>
      </c>
      <c r="Q178" s="45" t="str">
        <f>""</f>
        <v/>
      </c>
      <c r="R178" s="46">
        <v>26.49</v>
      </c>
      <c r="S178" s="46">
        <v>0</v>
      </c>
      <c r="T178" s="47">
        <f t="shared" si="12"/>
        <v>26.49</v>
      </c>
    </row>
    <row r="179" spans="1:20" s="31" customFormat="1" x14ac:dyDescent="0.25">
      <c r="A179" s="25" t="s">
        <v>25</v>
      </c>
      <c r="B179" s="42"/>
      <c r="C179" s="42"/>
      <c r="D179" s="25"/>
      <c r="E179" s="25"/>
      <c r="F179" s="42" t="e">
        <f t="shared" si="11"/>
        <v>#REF!</v>
      </c>
      <c r="G179" s="42" t="e">
        <f t="shared" si="11"/>
        <v>#REF!</v>
      </c>
      <c r="H179" s="43"/>
      <c r="K179" s="31" t="str">
        <f>"""GP"",""Ute Indian Tribe Membership Fund"",""aaa_contract_detail_sp"",""JRNENTRY"",""1577962"",""aaGLHdrID"",""1746302"",""aaGLDistID"",""536"",""aaGLAssignID"",""1"",""contract"",""3460 92 URHS FY2025"""</f>
        <v>"GP","Ute Indian Tribe Membership Fund","aaa_contract_detail_sp","JRNENTRY","1577962","aaGLHdrID","1746302","aaGLDistID","536","aaGLAssignID","1","contract","3460 92 URHS FY2025"</v>
      </c>
      <c r="L179" s="44">
        <v>45617</v>
      </c>
      <c r="M179" s="31">
        <v>1577962</v>
      </c>
      <c r="N179" s="31" t="str">
        <f>""</f>
        <v/>
      </c>
      <c r="O179" s="31" t="str">
        <f>""</f>
        <v/>
      </c>
      <c r="P179" s="31" t="str">
        <f>""</f>
        <v/>
      </c>
      <c r="Q179" s="45" t="str">
        <f>""</f>
        <v/>
      </c>
      <c r="R179" s="46">
        <v>39.380000000000003</v>
      </c>
      <c r="S179" s="46">
        <v>0</v>
      </c>
      <c r="T179" s="47">
        <f t="shared" si="12"/>
        <v>39.380000000000003</v>
      </c>
    </row>
    <row r="180" spans="1:20" s="31" customFormat="1" x14ac:dyDescent="0.25">
      <c r="A180" s="25" t="s">
        <v>25</v>
      </c>
      <c r="B180" s="42"/>
      <c r="C180" s="42"/>
      <c r="D180" s="25"/>
      <c r="E180" s="25"/>
      <c r="F180" s="42" t="e">
        <f t="shared" si="11"/>
        <v>#REF!</v>
      </c>
      <c r="G180" s="42" t="e">
        <f t="shared" si="11"/>
        <v>#REF!</v>
      </c>
      <c r="H180" s="43"/>
      <c r="K180" s="31" t="str">
        <f>"""GP"",""Ute Indian Tribe Membership Fund"",""aaa_contract_detail_sp"",""JRNENTRY"",""1577962"",""aaGLHdrID"",""1746302"",""aaGLDistID"",""537"",""aaGLAssignID"",""1"",""contract"",""3460 92 URHS FY2025"""</f>
        <v>"GP","Ute Indian Tribe Membership Fund","aaa_contract_detail_sp","JRNENTRY","1577962","aaGLHdrID","1746302","aaGLDistID","537","aaGLAssignID","1","contract","3460 92 URHS FY2025"</v>
      </c>
      <c r="L180" s="44">
        <v>45617</v>
      </c>
      <c r="M180" s="31">
        <v>1577962</v>
      </c>
      <c r="N180" s="31" t="str">
        <f>""</f>
        <v/>
      </c>
      <c r="O180" s="31" t="str">
        <f>""</f>
        <v/>
      </c>
      <c r="P180" s="31" t="str">
        <f>""</f>
        <v/>
      </c>
      <c r="Q180" s="45" t="str">
        <f>""</f>
        <v/>
      </c>
      <c r="R180" s="46">
        <v>25.09</v>
      </c>
      <c r="S180" s="46">
        <v>0</v>
      </c>
      <c r="T180" s="47">
        <f t="shared" si="12"/>
        <v>25.09</v>
      </c>
    </row>
    <row r="181" spans="1:20" s="31" customFormat="1" x14ac:dyDescent="0.25">
      <c r="A181" s="25" t="s">
        <v>25</v>
      </c>
      <c r="B181" s="42"/>
      <c r="C181" s="42"/>
      <c r="D181" s="25"/>
      <c r="E181" s="25"/>
      <c r="F181" s="42" t="e">
        <f t="shared" si="11"/>
        <v>#REF!</v>
      </c>
      <c r="G181" s="42" t="e">
        <f t="shared" si="11"/>
        <v>#REF!</v>
      </c>
      <c r="H181" s="43"/>
      <c r="K181" s="31" t="str">
        <f>"""GP"",""Ute Indian Tribe Membership Fund"",""aaa_contract_detail_sp"",""JRNENTRY"",""1577962"",""aaGLHdrID"",""1746302"",""aaGLDistID"",""538"",""aaGLAssignID"",""1"",""contract"",""3460 92 URHS FY2025"""</f>
        <v>"GP","Ute Indian Tribe Membership Fund","aaa_contract_detail_sp","JRNENTRY","1577962","aaGLHdrID","1746302","aaGLDistID","538","aaGLAssignID","1","contract","3460 92 URHS FY2025"</v>
      </c>
      <c r="L181" s="44">
        <v>45617</v>
      </c>
      <c r="M181" s="31">
        <v>1577962</v>
      </c>
      <c r="N181" s="31" t="str">
        <f>""</f>
        <v/>
      </c>
      <c r="O181" s="31" t="str">
        <f>""</f>
        <v/>
      </c>
      <c r="P181" s="31" t="str">
        <f>""</f>
        <v/>
      </c>
      <c r="Q181" s="45" t="str">
        <f>""</f>
        <v/>
      </c>
      <c r="R181" s="46">
        <v>22.96</v>
      </c>
      <c r="S181" s="46">
        <v>0</v>
      </c>
      <c r="T181" s="47">
        <f t="shared" si="12"/>
        <v>22.96</v>
      </c>
    </row>
    <row r="182" spans="1:20" s="31" customFormat="1" x14ac:dyDescent="0.25">
      <c r="A182" s="25" t="s">
        <v>25</v>
      </c>
      <c r="B182" s="42"/>
      <c r="C182" s="42"/>
      <c r="D182" s="25"/>
      <c r="E182" s="25"/>
      <c r="F182" s="42" t="e">
        <f t="shared" si="11"/>
        <v>#REF!</v>
      </c>
      <c r="G182" s="42" t="e">
        <f t="shared" si="11"/>
        <v>#REF!</v>
      </c>
      <c r="H182" s="43"/>
      <c r="K182" s="31" t="str">
        <f>"""GP"",""Ute Indian Tribe Membership Fund"",""aaa_contract_detail_sp"",""JRNENTRY"",""1576410"",""aaGLHdrID"",""1744370"",""aaGLDistID"",""17"",""aaGLAssignID"",""1"",""contract"",""3460 92 URHS FY2025"""</f>
        <v>"GP","Ute Indian Tribe Membership Fund","aaa_contract_detail_sp","JRNENTRY","1576410","aaGLHdrID","1744370","aaGLDistID","17","aaGLAssignID","1","contract","3460 92 URHS FY2025"</v>
      </c>
      <c r="L182" s="44">
        <v>45631</v>
      </c>
      <c r="M182" s="31">
        <v>1576410</v>
      </c>
      <c r="N182" s="31" t="str">
        <f>""</f>
        <v/>
      </c>
      <c r="O182" s="31" t="str">
        <f>""</f>
        <v/>
      </c>
      <c r="P182" s="31" t="str">
        <f>""</f>
        <v/>
      </c>
      <c r="Q182" s="45" t="str">
        <f>""</f>
        <v/>
      </c>
      <c r="R182" s="46">
        <v>199.53</v>
      </c>
      <c r="S182" s="46">
        <v>0</v>
      </c>
      <c r="T182" s="47">
        <f t="shared" si="12"/>
        <v>199.53</v>
      </c>
    </row>
    <row r="183" spans="1:20" s="31" customFormat="1" x14ac:dyDescent="0.25">
      <c r="A183" s="25" t="s">
        <v>25</v>
      </c>
      <c r="B183" s="42"/>
      <c r="C183" s="42"/>
      <c r="D183" s="25"/>
      <c r="E183" s="25"/>
      <c r="F183" s="42" t="e">
        <f t="shared" si="11"/>
        <v>#REF!</v>
      </c>
      <c r="G183" s="42" t="e">
        <f t="shared" si="11"/>
        <v>#REF!</v>
      </c>
      <c r="H183" s="43"/>
      <c r="K183" s="31" t="str">
        <f>"""GP"",""Ute Indian Tribe Membership Fund"",""aaa_contract_detail_sp"",""JRNENTRY"",""1576410"",""aaGLHdrID"",""1744370"",""aaGLDistID"",""18"",""aaGLAssignID"",""1"",""contract"",""3460 92 URHS FY2025"""</f>
        <v>"GP","Ute Indian Tribe Membership Fund","aaa_contract_detail_sp","JRNENTRY","1576410","aaGLHdrID","1744370","aaGLDistID","18","aaGLAssignID","1","contract","3460 92 URHS FY2025"</v>
      </c>
      <c r="L183" s="44">
        <v>45631</v>
      </c>
      <c r="M183" s="31">
        <v>1576410</v>
      </c>
      <c r="N183" s="31" t="str">
        <f>""</f>
        <v/>
      </c>
      <c r="O183" s="31" t="str">
        <f>""</f>
        <v/>
      </c>
      <c r="P183" s="31" t="str">
        <f>""</f>
        <v/>
      </c>
      <c r="Q183" s="45" t="str">
        <f>""</f>
        <v/>
      </c>
      <c r="R183" s="46">
        <v>46.67</v>
      </c>
      <c r="S183" s="46">
        <v>0</v>
      </c>
      <c r="T183" s="47">
        <f t="shared" si="12"/>
        <v>46.67</v>
      </c>
    </row>
    <row r="184" spans="1:20" s="31" customFormat="1" x14ac:dyDescent="0.25">
      <c r="A184" s="25" t="s">
        <v>25</v>
      </c>
      <c r="B184" s="42"/>
      <c r="C184" s="42"/>
      <c r="D184" s="25"/>
      <c r="E184" s="25"/>
      <c r="F184" s="42" t="e">
        <f t="shared" si="11"/>
        <v>#REF!</v>
      </c>
      <c r="G184" s="42" t="e">
        <f t="shared" si="11"/>
        <v>#REF!</v>
      </c>
      <c r="H184" s="43"/>
      <c r="K184" s="31" t="str">
        <f>"""GP"",""Ute Indian Tribe Membership Fund"",""aaa_contract_detail_sp"",""JRNENTRY"",""1576479"",""aaGLHdrID"",""1744439"",""aaGLDistID"",""19"",""aaGLAssignID"",""1"",""contract"",""3460 92 URHS FY2025"""</f>
        <v>"GP","Ute Indian Tribe Membership Fund","aaa_contract_detail_sp","JRNENTRY","1576479","aaGLHdrID","1744439","aaGLDistID","19","aaGLAssignID","1","contract","3460 92 URHS FY2025"</v>
      </c>
      <c r="L184" s="44">
        <v>45631</v>
      </c>
      <c r="M184" s="31">
        <v>1576479</v>
      </c>
      <c r="N184" s="31" t="str">
        <f>""</f>
        <v/>
      </c>
      <c r="O184" s="31" t="str">
        <f>""</f>
        <v/>
      </c>
      <c r="P184" s="31" t="str">
        <f>""</f>
        <v/>
      </c>
      <c r="Q184" s="45" t="str">
        <f>""</f>
        <v/>
      </c>
      <c r="R184" s="46">
        <v>169.51</v>
      </c>
      <c r="S184" s="46">
        <v>0</v>
      </c>
      <c r="T184" s="47">
        <f t="shared" si="12"/>
        <v>169.51</v>
      </c>
    </row>
    <row r="185" spans="1:20" s="31" customFormat="1" x14ac:dyDescent="0.25">
      <c r="A185" s="25" t="s">
        <v>25</v>
      </c>
      <c r="B185" s="42"/>
      <c r="C185" s="42"/>
      <c r="D185" s="25"/>
      <c r="E185" s="25"/>
      <c r="F185" s="42" t="e">
        <f t="shared" si="11"/>
        <v>#REF!</v>
      </c>
      <c r="G185" s="42" t="e">
        <f t="shared" si="11"/>
        <v>#REF!</v>
      </c>
      <c r="H185" s="43"/>
      <c r="K185" s="31" t="str">
        <f>"""GP"",""Ute Indian Tribe Membership Fund"",""aaa_contract_detail_sp"",""JRNENTRY"",""1576479"",""aaGLHdrID"",""1744439"",""aaGLDistID"",""20"",""aaGLAssignID"",""1"",""contract"",""3460 92 URHS FY2025"""</f>
        <v>"GP","Ute Indian Tribe Membership Fund","aaa_contract_detail_sp","JRNENTRY","1576479","aaGLHdrID","1744439","aaGLDistID","20","aaGLAssignID","1","contract","3460 92 URHS FY2025"</v>
      </c>
      <c r="L185" s="44">
        <v>45631</v>
      </c>
      <c r="M185" s="31">
        <v>1576479</v>
      </c>
      <c r="N185" s="31" t="str">
        <f>""</f>
        <v/>
      </c>
      <c r="O185" s="31" t="str">
        <f>""</f>
        <v/>
      </c>
      <c r="P185" s="31" t="str">
        <f>""</f>
        <v/>
      </c>
      <c r="Q185" s="45" t="str">
        <f>""</f>
        <v/>
      </c>
      <c r="R185" s="46">
        <v>39.64</v>
      </c>
      <c r="S185" s="46">
        <v>0</v>
      </c>
      <c r="T185" s="47">
        <f t="shared" si="12"/>
        <v>39.64</v>
      </c>
    </row>
    <row r="186" spans="1:20" s="31" customFormat="1" x14ac:dyDescent="0.25">
      <c r="A186" s="25" t="s">
        <v>25</v>
      </c>
      <c r="B186" s="42"/>
      <c r="C186" s="42"/>
      <c r="D186" s="25"/>
      <c r="E186" s="25"/>
      <c r="F186" s="42" t="e">
        <f t="shared" si="11"/>
        <v>#REF!</v>
      </c>
      <c r="G186" s="42" t="e">
        <f t="shared" si="11"/>
        <v>#REF!</v>
      </c>
      <c r="H186" s="43"/>
      <c r="K186" s="31" t="str">
        <f>"""GP"",""Ute Indian Tribe Membership Fund"",""aaa_contract_detail_sp"",""JRNENTRY"",""1576572"",""aaGLHdrID"",""1744532"",""aaGLDistID"",""18"",""aaGLAssignID"",""1"",""contract"",""3460 92 URHS FY2025"""</f>
        <v>"GP","Ute Indian Tribe Membership Fund","aaa_contract_detail_sp","JRNENTRY","1576572","aaGLHdrID","1744532","aaGLDistID","18","aaGLAssignID","1","contract","3460 92 URHS FY2025"</v>
      </c>
      <c r="L186" s="44">
        <v>45631</v>
      </c>
      <c r="M186" s="31">
        <v>1576572</v>
      </c>
      <c r="N186" s="31" t="str">
        <f>""</f>
        <v/>
      </c>
      <c r="O186" s="31" t="str">
        <f>""</f>
        <v/>
      </c>
      <c r="P186" s="31" t="str">
        <f>""</f>
        <v/>
      </c>
      <c r="Q186" s="45" t="str">
        <f>""</f>
        <v/>
      </c>
      <c r="R186" s="46">
        <v>249.06</v>
      </c>
      <c r="S186" s="46">
        <v>0</v>
      </c>
      <c r="T186" s="47">
        <f t="shared" si="12"/>
        <v>249.06</v>
      </c>
    </row>
    <row r="187" spans="1:20" s="31" customFormat="1" x14ac:dyDescent="0.25">
      <c r="A187" s="25" t="s">
        <v>25</v>
      </c>
      <c r="B187" s="42"/>
      <c r="C187" s="42"/>
      <c r="D187" s="25"/>
      <c r="E187" s="25"/>
      <c r="F187" s="42" t="e">
        <f t="shared" si="11"/>
        <v>#REF!</v>
      </c>
      <c r="G187" s="42" t="e">
        <f t="shared" si="11"/>
        <v>#REF!</v>
      </c>
      <c r="H187" s="43"/>
      <c r="K187" s="31" t="str">
        <f>"""GP"",""Ute Indian Tribe Membership Fund"",""aaa_contract_detail_sp"",""JRNENTRY"",""1576572"",""aaGLHdrID"",""1744532"",""aaGLDistID"",""19"",""aaGLAssignID"",""1"",""contract"",""3460 92 URHS FY2025"""</f>
        <v>"GP","Ute Indian Tribe Membership Fund","aaa_contract_detail_sp","JRNENTRY","1576572","aaGLHdrID","1744532","aaGLDistID","19","aaGLAssignID","1","contract","3460 92 URHS FY2025"</v>
      </c>
      <c r="L187" s="44">
        <v>45631</v>
      </c>
      <c r="M187" s="31">
        <v>1576572</v>
      </c>
      <c r="N187" s="31" t="str">
        <f>""</f>
        <v/>
      </c>
      <c r="O187" s="31" t="str">
        <f>""</f>
        <v/>
      </c>
      <c r="P187" s="31" t="str">
        <f>""</f>
        <v/>
      </c>
      <c r="Q187" s="45" t="str">
        <f>""</f>
        <v/>
      </c>
      <c r="R187" s="46">
        <v>58.24</v>
      </c>
      <c r="S187" s="46">
        <v>0</v>
      </c>
      <c r="T187" s="47">
        <f t="shared" si="12"/>
        <v>58.24</v>
      </c>
    </row>
    <row r="188" spans="1:20" s="31" customFormat="1" x14ac:dyDescent="0.25">
      <c r="A188" s="25" t="s">
        <v>25</v>
      </c>
      <c r="B188" s="42"/>
      <c r="C188" s="42"/>
      <c r="D188" s="25"/>
      <c r="E188" s="25"/>
      <c r="F188" s="42" t="e">
        <f t="shared" si="11"/>
        <v>#REF!</v>
      </c>
      <c r="G188" s="42" t="e">
        <f t="shared" si="11"/>
        <v>#REF!</v>
      </c>
      <c r="H188" s="43"/>
      <c r="K188" s="31" t="str">
        <f>"""GP"",""Ute Indian Tribe Membership Fund"",""aaa_contract_detail_sp"",""JRNENTRY"",""1576577"",""aaGLHdrID"",""1744537"",""aaGLDistID"",""18"",""aaGLAssignID"",""1"",""contract"",""3460 92 URHS FY2025"""</f>
        <v>"GP","Ute Indian Tribe Membership Fund","aaa_contract_detail_sp","JRNENTRY","1576577","aaGLHdrID","1744537","aaGLDistID","18","aaGLAssignID","1","contract","3460 92 URHS FY2025"</v>
      </c>
      <c r="L188" s="44">
        <v>45631</v>
      </c>
      <c r="M188" s="31">
        <v>1576577</v>
      </c>
      <c r="N188" s="31" t="str">
        <f>""</f>
        <v/>
      </c>
      <c r="O188" s="31" t="str">
        <f>""</f>
        <v/>
      </c>
      <c r="P188" s="31" t="str">
        <f>""</f>
        <v/>
      </c>
      <c r="Q188" s="45" t="str">
        <f>""</f>
        <v/>
      </c>
      <c r="R188" s="46">
        <v>290.70999999999998</v>
      </c>
      <c r="S188" s="46">
        <v>0</v>
      </c>
      <c r="T188" s="47">
        <f t="shared" si="12"/>
        <v>290.70999999999998</v>
      </c>
    </row>
    <row r="189" spans="1:20" s="31" customFormat="1" x14ac:dyDescent="0.25">
      <c r="A189" s="25" t="s">
        <v>25</v>
      </c>
      <c r="B189" s="42"/>
      <c r="C189" s="42"/>
      <c r="D189" s="25"/>
      <c r="E189" s="25"/>
      <c r="F189" s="42" t="e">
        <f t="shared" si="11"/>
        <v>#REF!</v>
      </c>
      <c r="G189" s="42" t="e">
        <f t="shared" si="11"/>
        <v>#REF!</v>
      </c>
      <c r="H189" s="43"/>
      <c r="K189" s="31" t="str">
        <f>"""GP"",""Ute Indian Tribe Membership Fund"",""aaa_contract_detail_sp"",""JRNENTRY"",""1576577"",""aaGLHdrID"",""1744537"",""aaGLDistID"",""19"",""aaGLAssignID"",""1"",""contract"",""3460 92 URHS FY2025"""</f>
        <v>"GP","Ute Indian Tribe Membership Fund","aaa_contract_detail_sp","JRNENTRY","1576577","aaGLHdrID","1744537","aaGLDistID","19","aaGLAssignID","1","contract","3460 92 URHS FY2025"</v>
      </c>
      <c r="L189" s="44">
        <v>45631</v>
      </c>
      <c r="M189" s="31">
        <v>1576577</v>
      </c>
      <c r="N189" s="31" t="str">
        <f>""</f>
        <v/>
      </c>
      <c r="O189" s="31" t="str">
        <f>""</f>
        <v/>
      </c>
      <c r="P189" s="31" t="str">
        <f>""</f>
        <v/>
      </c>
      <c r="Q189" s="45" t="str">
        <f>""</f>
        <v/>
      </c>
      <c r="R189" s="46">
        <v>67.989999999999995</v>
      </c>
      <c r="S189" s="46">
        <v>0</v>
      </c>
      <c r="T189" s="47">
        <f t="shared" si="12"/>
        <v>67.989999999999995</v>
      </c>
    </row>
    <row r="190" spans="1:20" s="31" customFormat="1" x14ac:dyDescent="0.25">
      <c r="A190" s="25" t="s">
        <v>25</v>
      </c>
      <c r="B190" s="42"/>
      <c r="C190" s="42"/>
      <c r="D190" s="25"/>
      <c r="E190" s="25"/>
      <c r="F190" s="42" t="e">
        <f t="shared" si="11"/>
        <v>#REF!</v>
      </c>
      <c r="G190" s="42" t="e">
        <f t="shared" si="11"/>
        <v>#REF!</v>
      </c>
      <c r="H190" s="43"/>
      <c r="K190" s="31" t="str">
        <f>"""GP"",""Ute Indian Tribe Membership Fund"",""aaa_contract_detail_sp"",""JRNENTRY"",""1576618"",""aaGLHdrID"",""1744578"",""aaGLDistID"",""18"",""aaGLAssignID"",""1"",""contract"",""3460 92 URHS FY2025"""</f>
        <v>"GP","Ute Indian Tribe Membership Fund","aaa_contract_detail_sp","JRNENTRY","1576618","aaGLHdrID","1744578","aaGLDistID","18","aaGLAssignID","1","contract","3460 92 URHS FY2025"</v>
      </c>
      <c r="L190" s="44">
        <v>45631</v>
      </c>
      <c r="M190" s="31">
        <v>1576618</v>
      </c>
      <c r="N190" s="31" t="str">
        <f>""</f>
        <v/>
      </c>
      <c r="O190" s="31" t="str">
        <f>""</f>
        <v/>
      </c>
      <c r="P190" s="31" t="str">
        <f>""</f>
        <v/>
      </c>
      <c r="Q190" s="45" t="str">
        <f>""</f>
        <v/>
      </c>
      <c r="R190" s="46">
        <v>230.11</v>
      </c>
      <c r="S190" s="46">
        <v>0</v>
      </c>
      <c r="T190" s="47">
        <f t="shared" si="12"/>
        <v>230.11</v>
      </c>
    </row>
    <row r="191" spans="1:20" s="31" customFormat="1" x14ac:dyDescent="0.25">
      <c r="A191" s="25" t="s">
        <v>25</v>
      </c>
      <c r="B191" s="42"/>
      <c r="C191" s="42"/>
      <c r="D191" s="25"/>
      <c r="E191" s="25"/>
      <c r="F191" s="42" t="e">
        <f t="shared" si="11"/>
        <v>#REF!</v>
      </c>
      <c r="G191" s="42" t="e">
        <f t="shared" si="11"/>
        <v>#REF!</v>
      </c>
      <c r="H191" s="43"/>
      <c r="K191" s="31" t="str">
        <f>"""GP"",""Ute Indian Tribe Membership Fund"",""aaa_contract_detail_sp"",""JRNENTRY"",""1576618"",""aaGLHdrID"",""1744578"",""aaGLDistID"",""19"",""aaGLAssignID"",""1"",""contract"",""3460 92 URHS FY2025"""</f>
        <v>"GP","Ute Indian Tribe Membership Fund","aaa_contract_detail_sp","JRNENTRY","1576618","aaGLHdrID","1744578","aaGLDistID","19","aaGLAssignID","1","contract","3460 92 URHS FY2025"</v>
      </c>
      <c r="L191" s="44">
        <v>45631</v>
      </c>
      <c r="M191" s="31">
        <v>1576618</v>
      </c>
      <c r="N191" s="31" t="str">
        <f>""</f>
        <v/>
      </c>
      <c r="O191" s="31" t="str">
        <f>""</f>
        <v/>
      </c>
      <c r="P191" s="31" t="str">
        <f>""</f>
        <v/>
      </c>
      <c r="Q191" s="45" t="str">
        <f>""</f>
        <v/>
      </c>
      <c r="R191" s="46">
        <v>53.82</v>
      </c>
      <c r="S191" s="46">
        <v>0</v>
      </c>
      <c r="T191" s="47">
        <f t="shared" si="12"/>
        <v>53.82</v>
      </c>
    </row>
    <row r="192" spans="1:20" s="31" customFormat="1" x14ac:dyDescent="0.25">
      <c r="A192" s="25" t="s">
        <v>25</v>
      </c>
      <c r="B192" s="42"/>
      <c r="C192" s="42"/>
      <c r="D192" s="25"/>
      <c r="E192" s="25"/>
      <c r="F192" s="42" t="e">
        <f t="shared" si="11"/>
        <v>#REF!</v>
      </c>
      <c r="G192" s="42" t="e">
        <f t="shared" si="11"/>
        <v>#REF!</v>
      </c>
      <c r="H192" s="43"/>
      <c r="K192" s="31" t="str">
        <f>"""GP"",""Ute Indian Tribe Membership Fund"",""aaa_contract_detail_sp"",""JRNENTRY"",""1576619"",""aaGLHdrID"",""1744579"",""aaGLDistID"",""16"",""aaGLAssignID"",""1"",""contract"",""3460 92 URHS FY2025"""</f>
        <v>"GP","Ute Indian Tribe Membership Fund","aaa_contract_detail_sp","JRNENTRY","1576619","aaGLHdrID","1744579","aaGLDistID","16","aaGLAssignID","1","contract","3460 92 URHS FY2025"</v>
      </c>
      <c r="L192" s="44">
        <v>45631</v>
      </c>
      <c r="M192" s="31">
        <v>1576619</v>
      </c>
      <c r="N192" s="31" t="str">
        <f>""</f>
        <v/>
      </c>
      <c r="O192" s="31" t="str">
        <f>""</f>
        <v/>
      </c>
      <c r="P192" s="31" t="str">
        <f>""</f>
        <v/>
      </c>
      <c r="Q192" s="45" t="str">
        <f>""</f>
        <v/>
      </c>
      <c r="R192" s="46">
        <v>231.75</v>
      </c>
      <c r="S192" s="46">
        <v>0</v>
      </c>
      <c r="T192" s="47">
        <f t="shared" si="12"/>
        <v>231.75</v>
      </c>
    </row>
    <row r="193" spans="1:20" s="31" customFormat="1" x14ac:dyDescent="0.25">
      <c r="A193" s="25" t="s">
        <v>25</v>
      </c>
      <c r="B193" s="42"/>
      <c r="C193" s="42"/>
      <c r="D193" s="25"/>
      <c r="E193" s="25"/>
      <c r="F193" s="42" t="e">
        <f t="shared" si="11"/>
        <v>#REF!</v>
      </c>
      <c r="G193" s="42" t="e">
        <f t="shared" si="11"/>
        <v>#REF!</v>
      </c>
      <c r="H193" s="43"/>
      <c r="K193" s="31" t="str">
        <f>"""GP"",""Ute Indian Tribe Membership Fund"",""aaa_contract_detail_sp"",""JRNENTRY"",""1576619"",""aaGLHdrID"",""1744579"",""aaGLDistID"",""17"",""aaGLAssignID"",""1"",""contract"",""3460 92 URHS FY2025"""</f>
        <v>"GP","Ute Indian Tribe Membership Fund","aaa_contract_detail_sp","JRNENTRY","1576619","aaGLHdrID","1744579","aaGLDistID","17","aaGLAssignID","1","contract","3460 92 URHS FY2025"</v>
      </c>
      <c r="L193" s="44">
        <v>45631</v>
      </c>
      <c r="M193" s="31">
        <v>1576619</v>
      </c>
      <c r="N193" s="31" t="str">
        <f>""</f>
        <v/>
      </c>
      <c r="O193" s="31" t="str">
        <f>""</f>
        <v/>
      </c>
      <c r="P193" s="31" t="str">
        <f>""</f>
        <v/>
      </c>
      <c r="Q193" s="45" t="str">
        <f>""</f>
        <v/>
      </c>
      <c r="R193" s="46">
        <v>54.2</v>
      </c>
      <c r="S193" s="46">
        <v>0</v>
      </c>
      <c r="T193" s="47">
        <f t="shared" si="12"/>
        <v>54.2</v>
      </c>
    </row>
    <row r="194" spans="1:20" s="31" customFormat="1" x14ac:dyDescent="0.25">
      <c r="A194" s="25" t="s">
        <v>25</v>
      </c>
      <c r="B194" s="42"/>
      <c r="C194" s="42"/>
      <c r="D194" s="25"/>
      <c r="E194" s="25"/>
      <c r="F194" s="42" t="e">
        <f t="shared" si="11"/>
        <v>#REF!</v>
      </c>
      <c r="G194" s="42" t="e">
        <f t="shared" si="11"/>
        <v>#REF!</v>
      </c>
      <c r="H194" s="43"/>
      <c r="K194" s="31" t="str">
        <f>"""GP"",""Ute Indian Tribe Membership Fund"",""aaa_contract_detail_sp"",""JRNENTRY"",""1576712"",""aaGLHdrID"",""1744672"",""aaGLDistID"",""16"",""aaGLAssignID"",""1"",""contract"",""3460 92 URHS FY2025"""</f>
        <v>"GP","Ute Indian Tribe Membership Fund","aaa_contract_detail_sp","JRNENTRY","1576712","aaGLHdrID","1744672","aaGLDistID","16","aaGLAssignID","1","contract","3460 92 URHS FY2025"</v>
      </c>
      <c r="L194" s="44">
        <v>45631</v>
      </c>
      <c r="M194" s="31">
        <v>1576712</v>
      </c>
      <c r="N194" s="31" t="str">
        <f>""</f>
        <v/>
      </c>
      <c r="O194" s="31" t="str">
        <f>""</f>
        <v/>
      </c>
      <c r="P194" s="31" t="str">
        <f>""</f>
        <v/>
      </c>
      <c r="Q194" s="45" t="str">
        <f>""</f>
        <v/>
      </c>
      <c r="R194" s="46">
        <v>217.54</v>
      </c>
      <c r="S194" s="46">
        <v>0</v>
      </c>
      <c r="T194" s="47">
        <f t="shared" si="12"/>
        <v>217.54</v>
      </c>
    </row>
    <row r="195" spans="1:20" s="31" customFormat="1" x14ac:dyDescent="0.25">
      <c r="A195" s="25" t="s">
        <v>25</v>
      </c>
      <c r="B195" s="42"/>
      <c r="C195" s="42"/>
      <c r="D195" s="25"/>
      <c r="E195" s="25"/>
      <c r="F195" s="42" t="e">
        <f t="shared" si="11"/>
        <v>#REF!</v>
      </c>
      <c r="G195" s="42" t="e">
        <f t="shared" si="11"/>
        <v>#REF!</v>
      </c>
      <c r="H195" s="43"/>
      <c r="K195" s="31" t="str">
        <f>"""GP"",""Ute Indian Tribe Membership Fund"",""aaa_contract_detail_sp"",""JRNENTRY"",""1576712"",""aaGLHdrID"",""1744672"",""aaGLDistID"",""17"",""aaGLAssignID"",""1"",""contract"",""3460 92 URHS FY2025"""</f>
        <v>"GP","Ute Indian Tribe Membership Fund","aaa_contract_detail_sp","JRNENTRY","1576712","aaGLHdrID","1744672","aaGLDistID","17","aaGLAssignID","1","contract","3460 92 URHS FY2025"</v>
      </c>
      <c r="L195" s="44">
        <v>45631</v>
      </c>
      <c r="M195" s="31">
        <v>1576712</v>
      </c>
      <c r="N195" s="31" t="str">
        <f>""</f>
        <v/>
      </c>
      <c r="O195" s="31" t="str">
        <f>""</f>
        <v/>
      </c>
      <c r="P195" s="31" t="str">
        <f>""</f>
        <v/>
      </c>
      <c r="Q195" s="45" t="str">
        <f>""</f>
        <v/>
      </c>
      <c r="R195" s="46">
        <v>50.87</v>
      </c>
      <c r="S195" s="46">
        <v>0</v>
      </c>
      <c r="T195" s="47">
        <f t="shared" si="12"/>
        <v>50.87</v>
      </c>
    </row>
    <row r="196" spans="1:20" s="31" customFormat="1" x14ac:dyDescent="0.25">
      <c r="A196" s="25" t="s">
        <v>25</v>
      </c>
      <c r="B196" s="42"/>
      <c r="C196" s="42"/>
      <c r="D196" s="25"/>
      <c r="E196" s="25"/>
      <c r="F196" s="42" t="e">
        <f t="shared" si="11"/>
        <v>#REF!</v>
      </c>
      <c r="G196" s="42" t="e">
        <f t="shared" si="11"/>
        <v>#REF!</v>
      </c>
      <c r="H196" s="43"/>
      <c r="K196" s="31" t="str">
        <f>"""GP"",""Ute Indian Tribe Membership Fund"",""aaa_contract_detail_sp"",""JRNENTRY"",""1576790"",""aaGLHdrID"",""1744750"",""aaGLDistID"",""15"",""aaGLAssignID"",""1"",""contract"",""3460 92 URHS FY2025"""</f>
        <v>"GP","Ute Indian Tribe Membership Fund","aaa_contract_detail_sp","JRNENTRY","1576790","aaGLHdrID","1744750","aaGLDistID","15","aaGLAssignID","1","contract","3460 92 URHS FY2025"</v>
      </c>
      <c r="L196" s="44">
        <v>45631</v>
      </c>
      <c r="M196" s="31">
        <v>1576790</v>
      </c>
      <c r="N196" s="31" t="str">
        <f>""</f>
        <v/>
      </c>
      <c r="O196" s="31" t="str">
        <f>""</f>
        <v/>
      </c>
      <c r="P196" s="31" t="str">
        <f>""</f>
        <v/>
      </c>
      <c r="Q196" s="45" t="str">
        <f>""</f>
        <v/>
      </c>
      <c r="R196" s="46">
        <v>168.14</v>
      </c>
      <c r="S196" s="46">
        <v>0</v>
      </c>
      <c r="T196" s="47">
        <f t="shared" si="12"/>
        <v>168.14</v>
      </c>
    </row>
    <row r="197" spans="1:20" s="31" customFormat="1" x14ac:dyDescent="0.25">
      <c r="A197" s="25" t="s">
        <v>25</v>
      </c>
      <c r="B197" s="42"/>
      <c r="C197" s="42"/>
      <c r="D197" s="25"/>
      <c r="E197" s="25"/>
      <c r="F197" s="42" t="e">
        <f t="shared" si="11"/>
        <v>#REF!</v>
      </c>
      <c r="G197" s="42" t="e">
        <f t="shared" si="11"/>
        <v>#REF!</v>
      </c>
      <c r="H197" s="43"/>
      <c r="K197" s="31" t="str">
        <f>"""GP"",""Ute Indian Tribe Membership Fund"",""aaa_contract_detail_sp"",""JRNENTRY"",""1576790"",""aaGLHdrID"",""1744750"",""aaGLDistID"",""16"",""aaGLAssignID"",""1"",""contract"",""3460 92 URHS FY2025"""</f>
        <v>"GP","Ute Indian Tribe Membership Fund","aaa_contract_detail_sp","JRNENTRY","1576790","aaGLHdrID","1744750","aaGLDistID","16","aaGLAssignID","1","contract","3460 92 URHS FY2025"</v>
      </c>
      <c r="L197" s="44">
        <v>45631</v>
      </c>
      <c r="M197" s="31">
        <v>1576790</v>
      </c>
      <c r="N197" s="31" t="str">
        <f>""</f>
        <v/>
      </c>
      <c r="O197" s="31" t="str">
        <f>""</f>
        <v/>
      </c>
      <c r="P197" s="31" t="str">
        <f>""</f>
        <v/>
      </c>
      <c r="Q197" s="45" t="str">
        <f>""</f>
        <v/>
      </c>
      <c r="R197" s="46">
        <v>39.32</v>
      </c>
      <c r="S197" s="46">
        <v>0</v>
      </c>
      <c r="T197" s="47">
        <f t="shared" si="12"/>
        <v>39.32</v>
      </c>
    </row>
    <row r="198" spans="1:20" s="31" customFormat="1" x14ac:dyDescent="0.25">
      <c r="A198" s="25" t="s">
        <v>25</v>
      </c>
      <c r="B198" s="42"/>
      <c r="C198" s="42"/>
      <c r="D198" s="25"/>
      <c r="E198" s="25"/>
      <c r="F198" s="42" t="e">
        <f t="shared" si="11"/>
        <v>#REF!</v>
      </c>
      <c r="G198" s="42" t="e">
        <f t="shared" si="11"/>
        <v>#REF!</v>
      </c>
      <c r="H198" s="43"/>
      <c r="K198" s="31" t="str">
        <f>"""GP"",""Ute Indian Tribe Membership Fund"",""aaa_contract_detail_sp"",""JRNENTRY"",""1576794"",""aaGLHdrID"",""1744754"",""aaGLDistID"",""17"",""aaGLAssignID"",""1"",""contract"",""3460 92 URHS FY2025"""</f>
        <v>"GP","Ute Indian Tribe Membership Fund","aaa_contract_detail_sp","JRNENTRY","1576794","aaGLHdrID","1744754","aaGLDistID","17","aaGLAssignID","1","contract","3460 92 URHS FY2025"</v>
      </c>
      <c r="L198" s="44">
        <v>45631</v>
      </c>
      <c r="M198" s="31">
        <v>1576794</v>
      </c>
      <c r="N198" s="31" t="str">
        <f>""</f>
        <v/>
      </c>
      <c r="O198" s="31" t="str">
        <f>""</f>
        <v/>
      </c>
      <c r="P198" s="31" t="str">
        <f>""</f>
        <v/>
      </c>
      <c r="Q198" s="45" t="str">
        <f>""</f>
        <v/>
      </c>
      <c r="R198" s="46">
        <v>152.07</v>
      </c>
      <c r="S198" s="46">
        <v>0</v>
      </c>
      <c r="T198" s="47">
        <f t="shared" si="12"/>
        <v>152.07</v>
      </c>
    </row>
    <row r="199" spans="1:20" s="31" customFormat="1" x14ac:dyDescent="0.25">
      <c r="A199" s="25" t="s">
        <v>25</v>
      </c>
      <c r="B199" s="42"/>
      <c r="C199" s="42"/>
      <c r="D199" s="25"/>
      <c r="E199" s="25"/>
      <c r="F199" s="42" t="e">
        <f t="shared" si="11"/>
        <v>#REF!</v>
      </c>
      <c r="G199" s="42" t="e">
        <f t="shared" si="11"/>
        <v>#REF!</v>
      </c>
      <c r="H199" s="43"/>
      <c r="K199" s="31" t="str">
        <f>"""GP"",""Ute Indian Tribe Membership Fund"",""aaa_contract_detail_sp"",""JRNENTRY"",""1576794"",""aaGLHdrID"",""1744754"",""aaGLDistID"",""18"",""aaGLAssignID"",""1"",""contract"",""3460 92 URHS FY2025"""</f>
        <v>"GP","Ute Indian Tribe Membership Fund","aaa_contract_detail_sp","JRNENTRY","1576794","aaGLHdrID","1744754","aaGLDistID","18","aaGLAssignID","1","contract","3460 92 URHS FY2025"</v>
      </c>
      <c r="L199" s="44">
        <v>45631</v>
      </c>
      <c r="M199" s="31">
        <v>1576794</v>
      </c>
      <c r="N199" s="31" t="str">
        <f>""</f>
        <v/>
      </c>
      <c r="O199" s="31" t="str">
        <f>""</f>
        <v/>
      </c>
      <c r="P199" s="31" t="str">
        <f>""</f>
        <v/>
      </c>
      <c r="Q199" s="45" t="str">
        <f>""</f>
        <v/>
      </c>
      <c r="R199" s="46">
        <v>35.57</v>
      </c>
      <c r="S199" s="46">
        <v>0</v>
      </c>
      <c r="T199" s="47">
        <f t="shared" si="12"/>
        <v>35.57</v>
      </c>
    </row>
    <row r="200" spans="1:20" s="31" customFormat="1" x14ac:dyDescent="0.25">
      <c r="A200" s="25" t="s">
        <v>25</v>
      </c>
      <c r="B200" s="42"/>
      <c r="C200" s="42"/>
      <c r="D200" s="25"/>
      <c r="E200" s="25"/>
      <c r="F200" s="42" t="e">
        <f t="shared" si="11"/>
        <v>#REF!</v>
      </c>
      <c r="G200" s="42" t="e">
        <f t="shared" si="11"/>
        <v>#REF!</v>
      </c>
      <c r="H200" s="43"/>
      <c r="K200" s="31" t="str">
        <f>"""GP"",""Ute Indian Tribe Membership Fund"",""aaa_contract_detail_sp"",""JRNENTRY"",""1581148"",""aaGLHdrID"",""1750112"",""aaGLDistID"",""22"",""aaGLAssignID"",""1"",""contract"",""3460 92 URHS FY2025"""</f>
        <v>"GP","Ute Indian Tribe Membership Fund","aaa_contract_detail_sp","JRNENTRY","1581148","aaGLHdrID","1750112","aaGLDistID","22","aaGLAssignID","1","contract","3460 92 URHS FY2025"</v>
      </c>
      <c r="L200" s="44">
        <v>45631</v>
      </c>
      <c r="M200" s="31">
        <v>1581148</v>
      </c>
      <c r="N200" s="31" t="str">
        <f>""</f>
        <v/>
      </c>
      <c r="O200" s="31" t="str">
        <f>""</f>
        <v/>
      </c>
      <c r="P200" s="31" t="str">
        <f>""</f>
        <v/>
      </c>
      <c r="Q200" s="45" t="str">
        <f>""</f>
        <v/>
      </c>
      <c r="R200" s="46">
        <v>50.36</v>
      </c>
      <c r="S200" s="46">
        <v>0</v>
      </c>
      <c r="T200" s="47">
        <f t="shared" si="12"/>
        <v>50.36</v>
      </c>
    </row>
    <row r="201" spans="1:20" s="31" customFormat="1" x14ac:dyDescent="0.25">
      <c r="A201" s="25" t="s">
        <v>25</v>
      </c>
      <c r="B201" s="42"/>
      <c r="C201" s="42"/>
      <c r="D201" s="25"/>
      <c r="E201" s="25"/>
      <c r="F201" s="42" t="e">
        <f t="shared" si="11"/>
        <v>#REF!</v>
      </c>
      <c r="G201" s="42" t="e">
        <f t="shared" si="11"/>
        <v>#REF!</v>
      </c>
      <c r="H201" s="43"/>
      <c r="K201" s="31" t="str">
        <f>"""GP"",""Ute Indian Tribe Membership Fund"",""aaa_contract_detail_sp"",""JRNENTRY"",""1581148"",""aaGLHdrID"",""1750112"",""aaGLDistID"",""23"",""aaGLAssignID"",""1"",""contract"",""3460 92 URHS FY2025"""</f>
        <v>"GP","Ute Indian Tribe Membership Fund","aaa_contract_detail_sp","JRNENTRY","1581148","aaGLHdrID","1750112","aaGLDistID","23","aaGLAssignID","1","contract","3460 92 URHS FY2025"</v>
      </c>
      <c r="L201" s="44">
        <v>45631</v>
      </c>
      <c r="M201" s="31">
        <v>1581148</v>
      </c>
      <c r="N201" s="31" t="str">
        <f>""</f>
        <v/>
      </c>
      <c r="O201" s="31" t="str">
        <f>""</f>
        <v/>
      </c>
      <c r="P201" s="31" t="str">
        <f>""</f>
        <v/>
      </c>
      <c r="Q201" s="45" t="str">
        <f>""</f>
        <v/>
      </c>
      <c r="R201" s="46">
        <v>0.81</v>
      </c>
      <c r="S201" s="46">
        <v>0</v>
      </c>
      <c r="T201" s="47">
        <f t="shared" si="12"/>
        <v>0.81</v>
      </c>
    </row>
    <row r="202" spans="1:20" s="31" customFormat="1" x14ac:dyDescent="0.25">
      <c r="A202" s="25" t="s">
        <v>25</v>
      </c>
      <c r="B202" s="42"/>
      <c r="C202" s="42"/>
      <c r="D202" s="25"/>
      <c r="E202" s="25"/>
      <c r="F202" s="42" t="e">
        <f t="shared" si="11"/>
        <v>#REF!</v>
      </c>
      <c r="G202" s="42" t="e">
        <f t="shared" si="11"/>
        <v>#REF!</v>
      </c>
      <c r="H202" s="43"/>
      <c r="K202" s="31" t="str">
        <f>"""GP"",""Ute Indian Tribe Membership Fund"",""aaa_contract_detail_sp"",""JRNENTRY"",""1581148"",""aaGLHdrID"",""1750112"",""aaGLDistID"",""514"",""aaGLAssignID"",""1"",""contract"",""3460 92 URHS FY2025"""</f>
        <v>"GP","Ute Indian Tribe Membership Fund","aaa_contract_detail_sp","JRNENTRY","1581148","aaGLHdrID","1750112","aaGLDistID","514","aaGLAssignID","1","contract","3460 92 URHS FY2025"</v>
      </c>
      <c r="L202" s="44">
        <v>45631</v>
      </c>
      <c r="M202" s="31">
        <v>1581148</v>
      </c>
      <c r="N202" s="31" t="str">
        <f>""</f>
        <v/>
      </c>
      <c r="O202" s="31" t="str">
        <f>""</f>
        <v/>
      </c>
      <c r="P202" s="31" t="str">
        <f>""</f>
        <v/>
      </c>
      <c r="Q202" s="45" t="str">
        <f>""</f>
        <v/>
      </c>
      <c r="R202" s="46">
        <v>48.07</v>
      </c>
      <c r="S202" s="46">
        <v>0</v>
      </c>
      <c r="T202" s="47">
        <f t="shared" si="12"/>
        <v>48.07</v>
      </c>
    </row>
    <row r="203" spans="1:20" s="31" customFormat="1" x14ac:dyDescent="0.25">
      <c r="A203" s="25" t="s">
        <v>25</v>
      </c>
      <c r="B203" s="42"/>
      <c r="C203" s="42"/>
      <c r="D203" s="25"/>
      <c r="E203" s="25"/>
      <c r="F203" s="42" t="e">
        <f t="shared" si="11"/>
        <v>#REF!</v>
      </c>
      <c r="G203" s="42" t="e">
        <f t="shared" si="11"/>
        <v>#REF!</v>
      </c>
      <c r="H203" s="43"/>
      <c r="K203" s="31" t="str">
        <f>"""GP"",""Ute Indian Tribe Membership Fund"",""aaa_contract_detail_sp"",""JRNENTRY"",""1581148"",""aaGLHdrID"",""1750112"",""aaGLDistID"",""515"",""aaGLAssignID"",""1"",""contract"",""3460 92 URHS FY2025"""</f>
        <v>"GP","Ute Indian Tribe Membership Fund","aaa_contract_detail_sp","JRNENTRY","1581148","aaGLHdrID","1750112","aaGLDistID","515","aaGLAssignID","1","contract","3460 92 URHS FY2025"</v>
      </c>
      <c r="L203" s="44">
        <v>45631</v>
      </c>
      <c r="M203" s="31">
        <v>1581148</v>
      </c>
      <c r="N203" s="31" t="str">
        <f>""</f>
        <v/>
      </c>
      <c r="O203" s="31" t="str">
        <f>""</f>
        <v/>
      </c>
      <c r="P203" s="31" t="str">
        <f>""</f>
        <v/>
      </c>
      <c r="Q203" s="45" t="str">
        <f>""</f>
        <v/>
      </c>
      <c r="R203" s="46">
        <v>37.380000000000003</v>
      </c>
      <c r="S203" s="46">
        <v>0</v>
      </c>
      <c r="T203" s="47">
        <f t="shared" si="12"/>
        <v>37.380000000000003</v>
      </c>
    </row>
    <row r="204" spans="1:20" s="31" customFormat="1" x14ac:dyDescent="0.25">
      <c r="A204" s="25" t="s">
        <v>25</v>
      </c>
      <c r="B204" s="42"/>
      <c r="C204" s="42"/>
      <c r="D204" s="25"/>
      <c r="E204" s="25"/>
      <c r="F204" s="42" t="e">
        <f t="shared" si="11"/>
        <v>#REF!</v>
      </c>
      <c r="G204" s="42" t="e">
        <f t="shared" si="11"/>
        <v>#REF!</v>
      </c>
      <c r="H204" s="43"/>
      <c r="K204" s="31" t="str">
        <f>"""GP"",""Ute Indian Tribe Membership Fund"",""aaa_contract_detail_sp"",""JRNENTRY"",""1581148"",""aaGLHdrID"",""1750112"",""aaGLDistID"",""516"",""aaGLAssignID"",""1"",""contract"",""3460 92 URHS FY2025"""</f>
        <v>"GP","Ute Indian Tribe Membership Fund","aaa_contract_detail_sp","JRNENTRY","1581148","aaGLHdrID","1750112","aaGLDistID","516","aaGLAssignID","1","contract","3460 92 URHS FY2025"</v>
      </c>
      <c r="L204" s="44">
        <v>45631</v>
      </c>
      <c r="M204" s="31">
        <v>1581148</v>
      </c>
      <c r="N204" s="31" t="str">
        <f>""</f>
        <v/>
      </c>
      <c r="O204" s="31" t="str">
        <f>""</f>
        <v/>
      </c>
      <c r="P204" s="31" t="str">
        <f>""</f>
        <v/>
      </c>
      <c r="Q204" s="45" t="str">
        <f>""</f>
        <v/>
      </c>
      <c r="R204" s="46">
        <v>94.95</v>
      </c>
      <c r="S204" s="46">
        <v>0</v>
      </c>
      <c r="T204" s="47">
        <f t="shared" si="12"/>
        <v>94.95</v>
      </c>
    </row>
    <row r="205" spans="1:20" s="31" customFormat="1" x14ac:dyDescent="0.25">
      <c r="A205" s="25" t="s">
        <v>25</v>
      </c>
      <c r="B205" s="42"/>
      <c r="C205" s="42"/>
      <c r="D205" s="25"/>
      <c r="E205" s="25"/>
      <c r="F205" s="42" t="e">
        <f t="shared" si="11"/>
        <v>#REF!</v>
      </c>
      <c r="G205" s="42" t="e">
        <f t="shared" si="11"/>
        <v>#REF!</v>
      </c>
      <c r="H205" s="43"/>
      <c r="K205" s="31" t="str">
        <f>"""GP"",""Ute Indian Tribe Membership Fund"",""aaa_contract_detail_sp"",""JRNENTRY"",""1581148"",""aaGLHdrID"",""1750112"",""aaGLDistID"",""517"",""aaGLAssignID"",""1"",""contract"",""3460 92 URHS FY2025"""</f>
        <v>"GP","Ute Indian Tribe Membership Fund","aaa_contract_detail_sp","JRNENTRY","1581148","aaGLHdrID","1750112","aaGLDistID","517","aaGLAssignID","1","contract","3460 92 URHS FY2025"</v>
      </c>
      <c r="L205" s="44">
        <v>45631</v>
      </c>
      <c r="M205" s="31">
        <v>1581148</v>
      </c>
      <c r="N205" s="31" t="str">
        <f>""</f>
        <v/>
      </c>
      <c r="O205" s="31" t="str">
        <f>""</f>
        <v/>
      </c>
      <c r="P205" s="31" t="str">
        <f>""</f>
        <v/>
      </c>
      <c r="Q205" s="45" t="str">
        <f>""</f>
        <v/>
      </c>
      <c r="R205" s="46">
        <v>37.89</v>
      </c>
      <c r="S205" s="46">
        <v>0</v>
      </c>
      <c r="T205" s="47">
        <f t="shared" si="12"/>
        <v>37.89</v>
      </c>
    </row>
    <row r="206" spans="1:20" s="31" customFormat="1" x14ac:dyDescent="0.25">
      <c r="A206" s="25" t="s">
        <v>25</v>
      </c>
      <c r="B206" s="42"/>
      <c r="C206" s="42"/>
      <c r="D206" s="25"/>
      <c r="E206" s="25"/>
      <c r="F206" s="42" t="e">
        <f t="shared" si="11"/>
        <v>#REF!</v>
      </c>
      <c r="G206" s="42" t="e">
        <f t="shared" si="11"/>
        <v>#REF!</v>
      </c>
      <c r="H206" s="43"/>
      <c r="K206" s="31" t="str">
        <f>"""GP"",""Ute Indian Tribe Membership Fund"",""aaa_contract_detail_sp"",""JRNENTRY"",""1581148"",""aaGLHdrID"",""1750112"",""aaGLDistID"",""518"",""aaGLAssignID"",""1"",""contract"",""3460 92 URHS FY2025"""</f>
        <v>"GP","Ute Indian Tribe Membership Fund","aaa_contract_detail_sp","JRNENTRY","1581148","aaGLHdrID","1750112","aaGLDistID","518","aaGLAssignID","1","contract","3460 92 URHS FY2025"</v>
      </c>
      <c r="L206" s="44">
        <v>45631</v>
      </c>
      <c r="M206" s="31">
        <v>1581148</v>
      </c>
      <c r="N206" s="31" t="str">
        <f>""</f>
        <v/>
      </c>
      <c r="O206" s="31" t="str">
        <f>""</f>
        <v/>
      </c>
      <c r="P206" s="31" t="str">
        <f>""</f>
        <v/>
      </c>
      <c r="Q206" s="45" t="str">
        <f>""</f>
        <v/>
      </c>
      <c r="R206" s="46">
        <v>39.92</v>
      </c>
      <c r="S206" s="46">
        <v>0</v>
      </c>
      <c r="T206" s="47">
        <f t="shared" si="12"/>
        <v>39.92</v>
      </c>
    </row>
    <row r="207" spans="1:20" s="31" customFormat="1" x14ac:dyDescent="0.25">
      <c r="A207" s="25" t="s">
        <v>25</v>
      </c>
      <c r="B207" s="42"/>
      <c r="C207" s="42"/>
      <c r="D207" s="25"/>
      <c r="E207" s="25"/>
      <c r="F207" s="42" t="e">
        <f t="shared" si="11"/>
        <v>#REF!</v>
      </c>
      <c r="G207" s="42" t="e">
        <f t="shared" si="11"/>
        <v>#REF!</v>
      </c>
      <c r="H207" s="43"/>
      <c r="K207" s="31" t="str">
        <f>"""GP"",""Ute Indian Tribe Membership Fund"",""aaa_contract_detail_sp"",""JRNENTRY"",""1581148"",""aaGLHdrID"",""1750112"",""aaGLDistID"",""519"",""aaGLAssignID"",""1"",""contract"",""3460 92 URHS FY2025"""</f>
        <v>"GP","Ute Indian Tribe Membership Fund","aaa_contract_detail_sp","JRNENTRY","1581148","aaGLHdrID","1750112","aaGLDistID","519","aaGLAssignID","1","contract","3460 92 URHS FY2025"</v>
      </c>
      <c r="L207" s="44">
        <v>45631</v>
      </c>
      <c r="M207" s="31">
        <v>1581148</v>
      </c>
      <c r="N207" s="31" t="str">
        <f>""</f>
        <v/>
      </c>
      <c r="O207" s="31" t="str">
        <f>""</f>
        <v/>
      </c>
      <c r="P207" s="31" t="str">
        <f>""</f>
        <v/>
      </c>
      <c r="Q207" s="45" t="str">
        <f>""</f>
        <v/>
      </c>
      <c r="R207" s="46">
        <v>35.090000000000003</v>
      </c>
      <c r="S207" s="46">
        <v>0</v>
      </c>
      <c r="T207" s="47">
        <f t="shared" si="12"/>
        <v>35.090000000000003</v>
      </c>
    </row>
    <row r="208" spans="1:20" s="31" customFormat="1" x14ac:dyDescent="0.25">
      <c r="A208" s="25" t="s">
        <v>25</v>
      </c>
      <c r="B208" s="42"/>
      <c r="C208" s="42"/>
      <c r="D208" s="25"/>
      <c r="E208" s="25"/>
      <c r="F208" s="42" t="e">
        <f t="shared" si="11"/>
        <v>#REF!</v>
      </c>
      <c r="G208" s="42" t="e">
        <f t="shared" si="11"/>
        <v>#REF!</v>
      </c>
      <c r="H208" s="43"/>
      <c r="K208" s="31" t="str">
        <f>"""GP"",""Ute Indian Tribe Membership Fund"",""aaa_contract_detail_sp"",""JRNENTRY"",""1581148"",""aaGLHdrID"",""1750112"",""aaGLDistID"",""520"",""aaGLAssignID"",""1"",""contract"",""3460 92 URHS FY2025"""</f>
        <v>"GP","Ute Indian Tribe Membership Fund","aaa_contract_detail_sp","JRNENTRY","1581148","aaGLHdrID","1750112","aaGLDistID","520","aaGLAssignID","1","contract","3460 92 URHS FY2025"</v>
      </c>
      <c r="L208" s="44">
        <v>45631</v>
      </c>
      <c r="M208" s="31">
        <v>1581148</v>
      </c>
      <c r="N208" s="31" t="str">
        <f>""</f>
        <v/>
      </c>
      <c r="O208" s="31" t="str">
        <f>""</f>
        <v/>
      </c>
      <c r="P208" s="31" t="str">
        <f>""</f>
        <v/>
      </c>
      <c r="Q208" s="45" t="str">
        <f>""</f>
        <v/>
      </c>
      <c r="R208" s="46">
        <v>32.96</v>
      </c>
      <c r="S208" s="46">
        <v>0</v>
      </c>
      <c r="T208" s="47">
        <f t="shared" si="12"/>
        <v>32.96</v>
      </c>
    </row>
    <row r="209" spans="1:20" s="31" customFormat="1" x14ac:dyDescent="0.25">
      <c r="A209" s="25" t="s">
        <v>25</v>
      </c>
      <c r="B209" s="42"/>
      <c r="C209" s="42"/>
      <c r="D209" s="25"/>
      <c r="E209" s="25"/>
      <c r="F209" s="42" t="e">
        <f t="shared" si="11"/>
        <v>#REF!</v>
      </c>
      <c r="G209" s="42" t="e">
        <f t="shared" si="11"/>
        <v>#REF!</v>
      </c>
      <c r="H209" s="43"/>
      <c r="K209" s="31" t="str">
        <f>"""GP"",""Ute Indian Tribe Membership Fund"",""aaa_contract_detail_sp"",""JRNENTRY"",""1579504"",""aaGLHdrID"",""1747393"",""aaGLDistID"",""18"",""aaGLAssignID"",""1"",""contract"",""3460 92 URHS FY2025"""</f>
        <v>"GP","Ute Indian Tribe Membership Fund","aaa_contract_detail_sp","JRNENTRY","1579504","aaGLHdrID","1747393","aaGLDistID","18","aaGLAssignID","1","contract","3460 92 URHS FY2025"</v>
      </c>
      <c r="L209" s="44">
        <v>45645</v>
      </c>
      <c r="M209" s="31">
        <v>1579504</v>
      </c>
      <c r="N209" s="31" t="str">
        <f>""</f>
        <v/>
      </c>
      <c r="O209" s="31" t="str">
        <f>""</f>
        <v/>
      </c>
      <c r="P209" s="31" t="str">
        <f>""</f>
        <v/>
      </c>
      <c r="Q209" s="45" t="str">
        <f>""</f>
        <v/>
      </c>
      <c r="R209" s="46">
        <v>167.12</v>
      </c>
      <c r="S209" s="46">
        <v>0</v>
      </c>
      <c r="T209" s="47">
        <f t="shared" si="12"/>
        <v>167.12</v>
      </c>
    </row>
    <row r="210" spans="1:20" s="31" customFormat="1" x14ac:dyDescent="0.25">
      <c r="A210" s="25" t="s">
        <v>25</v>
      </c>
      <c r="B210" s="42"/>
      <c r="C210" s="42"/>
      <c r="D210" s="25"/>
      <c r="E210" s="25"/>
      <c r="F210" s="42" t="e">
        <f t="shared" si="11"/>
        <v>#REF!</v>
      </c>
      <c r="G210" s="42" t="e">
        <f t="shared" si="11"/>
        <v>#REF!</v>
      </c>
      <c r="H210" s="43"/>
      <c r="K210" s="31" t="str">
        <f>"""GP"",""Ute Indian Tribe Membership Fund"",""aaa_contract_detail_sp"",""JRNENTRY"",""1579504"",""aaGLHdrID"",""1747393"",""aaGLDistID"",""19"",""aaGLAssignID"",""1"",""contract"",""3460 92 URHS FY2025"""</f>
        <v>"GP","Ute Indian Tribe Membership Fund","aaa_contract_detail_sp","JRNENTRY","1579504","aaGLHdrID","1747393","aaGLDistID","19","aaGLAssignID","1","contract","3460 92 URHS FY2025"</v>
      </c>
      <c r="L210" s="44">
        <v>45645</v>
      </c>
      <c r="M210" s="31">
        <v>1579504</v>
      </c>
      <c r="N210" s="31" t="str">
        <f>""</f>
        <v/>
      </c>
      <c r="O210" s="31" t="str">
        <f>""</f>
        <v/>
      </c>
      <c r="P210" s="31" t="str">
        <f>""</f>
        <v/>
      </c>
      <c r="Q210" s="45" t="str">
        <f>""</f>
        <v/>
      </c>
      <c r="R210" s="46">
        <v>39.08</v>
      </c>
      <c r="S210" s="46">
        <v>0</v>
      </c>
      <c r="T210" s="47">
        <f t="shared" si="12"/>
        <v>39.08</v>
      </c>
    </row>
    <row r="211" spans="1:20" s="31" customFormat="1" x14ac:dyDescent="0.25">
      <c r="A211" s="25" t="s">
        <v>25</v>
      </c>
      <c r="B211" s="42"/>
      <c r="C211" s="42"/>
      <c r="D211" s="25"/>
      <c r="E211" s="25"/>
      <c r="F211" s="42" t="e">
        <f t="shared" si="11"/>
        <v>#REF!</v>
      </c>
      <c r="G211" s="42" t="e">
        <f t="shared" si="11"/>
        <v>#REF!</v>
      </c>
      <c r="H211" s="43"/>
      <c r="K211" s="31" t="str">
        <f>"""GP"",""Ute Indian Tribe Membership Fund"",""aaa_contract_detail_sp"",""JRNENTRY"",""1579569"",""aaGLHdrID"",""1747458"",""aaGLDistID"",""19"",""aaGLAssignID"",""1"",""contract"",""3460 92 URHS FY2025"""</f>
        <v>"GP","Ute Indian Tribe Membership Fund","aaa_contract_detail_sp","JRNENTRY","1579569","aaGLHdrID","1747458","aaGLDistID","19","aaGLAssignID","1","contract","3460 92 URHS FY2025"</v>
      </c>
      <c r="L211" s="44">
        <v>45645</v>
      </c>
      <c r="M211" s="31">
        <v>1579569</v>
      </c>
      <c r="N211" s="31" t="str">
        <f>""</f>
        <v/>
      </c>
      <c r="O211" s="31" t="str">
        <f>""</f>
        <v/>
      </c>
      <c r="P211" s="31" t="str">
        <f>""</f>
        <v/>
      </c>
      <c r="Q211" s="45" t="str">
        <f>""</f>
        <v/>
      </c>
      <c r="R211" s="46">
        <v>176.61</v>
      </c>
      <c r="S211" s="46">
        <v>0</v>
      </c>
      <c r="T211" s="47">
        <f t="shared" si="12"/>
        <v>176.61</v>
      </c>
    </row>
    <row r="212" spans="1:20" s="31" customFormat="1" x14ac:dyDescent="0.25">
      <c r="A212" s="25" t="s">
        <v>25</v>
      </c>
      <c r="B212" s="42"/>
      <c r="C212" s="42"/>
      <c r="D212" s="25"/>
      <c r="E212" s="25"/>
      <c r="F212" s="42" t="e">
        <f t="shared" si="11"/>
        <v>#REF!</v>
      </c>
      <c r="G212" s="42" t="e">
        <f t="shared" si="11"/>
        <v>#REF!</v>
      </c>
      <c r="H212" s="43"/>
      <c r="K212" s="31" t="str">
        <f>"""GP"",""Ute Indian Tribe Membership Fund"",""aaa_contract_detail_sp"",""JRNENTRY"",""1579569"",""aaGLHdrID"",""1747458"",""aaGLDistID"",""20"",""aaGLAssignID"",""1"",""contract"",""3460 92 URHS FY2025"""</f>
        <v>"GP","Ute Indian Tribe Membership Fund","aaa_contract_detail_sp","JRNENTRY","1579569","aaGLHdrID","1747458","aaGLDistID","20","aaGLAssignID","1","contract","3460 92 URHS FY2025"</v>
      </c>
      <c r="L212" s="44">
        <v>45645</v>
      </c>
      <c r="M212" s="31">
        <v>1579569</v>
      </c>
      <c r="N212" s="31" t="str">
        <f>""</f>
        <v/>
      </c>
      <c r="O212" s="31" t="str">
        <f>""</f>
        <v/>
      </c>
      <c r="P212" s="31" t="str">
        <f>""</f>
        <v/>
      </c>
      <c r="Q212" s="45" t="str">
        <f>""</f>
        <v/>
      </c>
      <c r="R212" s="46">
        <v>41.31</v>
      </c>
      <c r="S212" s="46">
        <v>0</v>
      </c>
      <c r="T212" s="47">
        <f t="shared" si="12"/>
        <v>41.31</v>
      </c>
    </row>
    <row r="213" spans="1:20" s="31" customFormat="1" x14ac:dyDescent="0.25">
      <c r="A213" s="25" t="s">
        <v>25</v>
      </c>
      <c r="B213" s="42"/>
      <c r="C213" s="42"/>
      <c r="D213" s="25"/>
      <c r="E213" s="25"/>
      <c r="F213" s="42" t="e">
        <f t="shared" si="11"/>
        <v>#REF!</v>
      </c>
      <c r="G213" s="42" t="e">
        <f t="shared" si="11"/>
        <v>#REF!</v>
      </c>
      <c r="H213" s="43"/>
      <c r="K213" s="31" t="str">
        <f>"""GP"",""Ute Indian Tribe Membership Fund"",""aaa_contract_detail_sp"",""JRNENTRY"",""1579662"",""aaGLHdrID"",""1747551"",""aaGLDistID"",""17"",""aaGLAssignID"",""1"",""contract"",""3460 92 URHS FY2025"""</f>
        <v>"GP","Ute Indian Tribe Membership Fund","aaa_contract_detail_sp","JRNENTRY","1579662","aaGLHdrID","1747551","aaGLDistID","17","aaGLAssignID","1","contract","3460 92 URHS FY2025"</v>
      </c>
      <c r="L213" s="44">
        <v>45645</v>
      </c>
      <c r="M213" s="31">
        <v>1579662</v>
      </c>
      <c r="N213" s="31" t="str">
        <f>""</f>
        <v/>
      </c>
      <c r="O213" s="31" t="str">
        <f>""</f>
        <v/>
      </c>
      <c r="P213" s="31" t="str">
        <f>""</f>
        <v/>
      </c>
      <c r="Q213" s="45" t="str">
        <f>""</f>
        <v/>
      </c>
      <c r="R213" s="46">
        <v>227.26</v>
      </c>
      <c r="S213" s="46">
        <v>0</v>
      </c>
      <c r="T213" s="47">
        <f t="shared" si="12"/>
        <v>227.26</v>
      </c>
    </row>
    <row r="214" spans="1:20" s="31" customFormat="1" x14ac:dyDescent="0.25">
      <c r="A214" s="25" t="s">
        <v>25</v>
      </c>
      <c r="B214" s="42"/>
      <c r="C214" s="42"/>
      <c r="D214" s="25"/>
      <c r="E214" s="25"/>
      <c r="F214" s="42" t="e">
        <f t="shared" si="11"/>
        <v>#REF!</v>
      </c>
      <c r="G214" s="42" t="e">
        <f t="shared" si="11"/>
        <v>#REF!</v>
      </c>
      <c r="H214" s="43"/>
      <c r="K214" s="31" t="str">
        <f>"""GP"",""Ute Indian Tribe Membership Fund"",""aaa_contract_detail_sp"",""JRNENTRY"",""1579662"",""aaGLHdrID"",""1747551"",""aaGLDistID"",""18"",""aaGLAssignID"",""1"",""contract"",""3460 92 URHS FY2025"""</f>
        <v>"GP","Ute Indian Tribe Membership Fund","aaa_contract_detail_sp","JRNENTRY","1579662","aaGLHdrID","1747551","aaGLDistID","18","aaGLAssignID","1","contract","3460 92 URHS FY2025"</v>
      </c>
      <c r="L214" s="44">
        <v>45645</v>
      </c>
      <c r="M214" s="31">
        <v>1579662</v>
      </c>
      <c r="N214" s="31" t="str">
        <f>""</f>
        <v/>
      </c>
      <c r="O214" s="31" t="str">
        <f>""</f>
        <v/>
      </c>
      <c r="P214" s="31" t="str">
        <f>""</f>
        <v/>
      </c>
      <c r="Q214" s="45" t="str">
        <f>""</f>
        <v/>
      </c>
      <c r="R214" s="46">
        <v>53.15</v>
      </c>
      <c r="S214" s="46">
        <v>0</v>
      </c>
      <c r="T214" s="47">
        <f t="shared" si="12"/>
        <v>53.15</v>
      </c>
    </row>
    <row r="215" spans="1:20" s="31" customFormat="1" x14ac:dyDescent="0.25">
      <c r="A215" s="25" t="s">
        <v>25</v>
      </c>
      <c r="B215" s="42"/>
      <c r="C215" s="42"/>
      <c r="D215" s="25"/>
      <c r="E215" s="25"/>
      <c r="F215" s="42" t="e">
        <f t="shared" si="11"/>
        <v>#REF!</v>
      </c>
      <c r="G215" s="42" t="e">
        <f t="shared" si="11"/>
        <v>#REF!</v>
      </c>
      <c r="H215" s="43"/>
      <c r="K215" s="31" t="str">
        <f>"""GP"",""Ute Indian Tribe Membership Fund"",""aaa_contract_detail_sp"",""JRNENTRY"",""1579667"",""aaGLHdrID"",""1747556"",""aaGLDistID"",""19"",""aaGLAssignID"",""1"",""contract"",""3460 92 URHS FY2025"""</f>
        <v>"GP","Ute Indian Tribe Membership Fund","aaa_contract_detail_sp","JRNENTRY","1579667","aaGLHdrID","1747556","aaGLDistID","19","aaGLAssignID","1","contract","3460 92 URHS FY2025"</v>
      </c>
      <c r="L215" s="44">
        <v>45645</v>
      </c>
      <c r="M215" s="31">
        <v>1579667</v>
      </c>
      <c r="N215" s="31" t="str">
        <f>""</f>
        <v/>
      </c>
      <c r="O215" s="31" t="str">
        <f>""</f>
        <v/>
      </c>
      <c r="P215" s="31" t="str">
        <f>""</f>
        <v/>
      </c>
      <c r="Q215" s="45" t="str">
        <f>""</f>
        <v/>
      </c>
      <c r="R215" s="46">
        <v>268.5</v>
      </c>
      <c r="S215" s="46">
        <v>0</v>
      </c>
      <c r="T215" s="47">
        <f t="shared" si="12"/>
        <v>268.5</v>
      </c>
    </row>
    <row r="216" spans="1:20" s="31" customFormat="1" x14ac:dyDescent="0.25">
      <c r="A216" s="25" t="s">
        <v>25</v>
      </c>
      <c r="B216" s="42"/>
      <c r="C216" s="42"/>
      <c r="D216" s="25"/>
      <c r="E216" s="25"/>
      <c r="F216" s="42" t="e">
        <f t="shared" si="11"/>
        <v>#REF!</v>
      </c>
      <c r="G216" s="42" t="e">
        <f t="shared" si="11"/>
        <v>#REF!</v>
      </c>
      <c r="H216" s="43"/>
      <c r="K216" s="31" t="str">
        <f>"""GP"",""Ute Indian Tribe Membership Fund"",""aaa_contract_detail_sp"",""JRNENTRY"",""1579667"",""aaGLHdrID"",""1747556"",""aaGLDistID"",""20"",""aaGLAssignID"",""1"",""contract"",""3460 92 URHS FY2025"""</f>
        <v>"GP","Ute Indian Tribe Membership Fund","aaa_contract_detail_sp","JRNENTRY","1579667","aaGLHdrID","1747556","aaGLDistID","20","aaGLAssignID","1","contract","3460 92 URHS FY2025"</v>
      </c>
      <c r="L216" s="44">
        <v>45645</v>
      </c>
      <c r="M216" s="31">
        <v>1579667</v>
      </c>
      <c r="N216" s="31" t="str">
        <f>""</f>
        <v/>
      </c>
      <c r="O216" s="31" t="str">
        <f>""</f>
        <v/>
      </c>
      <c r="P216" s="31" t="str">
        <f>""</f>
        <v/>
      </c>
      <c r="Q216" s="45" t="str">
        <f>""</f>
        <v/>
      </c>
      <c r="R216" s="46">
        <v>62.79</v>
      </c>
      <c r="S216" s="46">
        <v>0</v>
      </c>
      <c r="T216" s="47">
        <f t="shared" si="12"/>
        <v>62.79</v>
      </c>
    </row>
    <row r="217" spans="1:20" s="31" customFormat="1" x14ac:dyDescent="0.25">
      <c r="A217" s="25" t="s">
        <v>25</v>
      </c>
      <c r="B217" s="42"/>
      <c r="C217" s="42"/>
      <c r="D217" s="25"/>
      <c r="E217" s="25"/>
      <c r="F217" s="42" t="e">
        <f t="shared" si="11"/>
        <v>#REF!</v>
      </c>
      <c r="G217" s="42" t="e">
        <f t="shared" si="11"/>
        <v>#REF!</v>
      </c>
      <c r="H217" s="43"/>
      <c r="K217" s="31" t="str">
        <f>"""GP"",""Ute Indian Tribe Membership Fund"",""aaa_contract_detail_sp"",""JRNENTRY"",""1579707"",""aaGLHdrID"",""1747596"",""aaGLDistID"",""16"",""aaGLAssignID"",""1"",""contract"",""3460 92 URHS FY2025"""</f>
        <v>"GP","Ute Indian Tribe Membership Fund","aaa_contract_detail_sp","JRNENTRY","1579707","aaGLHdrID","1747596","aaGLDistID","16","aaGLAssignID","1","contract","3460 92 URHS FY2025"</v>
      </c>
      <c r="L217" s="44">
        <v>45645</v>
      </c>
      <c r="M217" s="31">
        <v>1579707</v>
      </c>
      <c r="N217" s="31" t="str">
        <f>""</f>
        <v/>
      </c>
      <c r="O217" s="31" t="str">
        <f>""</f>
        <v/>
      </c>
      <c r="P217" s="31" t="str">
        <f>""</f>
        <v/>
      </c>
      <c r="Q217" s="45" t="str">
        <f>""</f>
        <v/>
      </c>
      <c r="R217" s="46">
        <v>193.81</v>
      </c>
      <c r="S217" s="46">
        <v>0</v>
      </c>
      <c r="T217" s="47">
        <f t="shared" si="12"/>
        <v>193.81</v>
      </c>
    </row>
    <row r="218" spans="1:20" s="31" customFormat="1" x14ac:dyDescent="0.25">
      <c r="A218" s="25" t="s">
        <v>25</v>
      </c>
      <c r="B218" s="42"/>
      <c r="C218" s="42"/>
      <c r="D218" s="25"/>
      <c r="E218" s="25"/>
      <c r="F218" s="42" t="e">
        <f t="shared" si="11"/>
        <v>#REF!</v>
      </c>
      <c r="G218" s="42" t="e">
        <f t="shared" si="11"/>
        <v>#REF!</v>
      </c>
      <c r="H218" s="43"/>
      <c r="K218" s="31" t="str">
        <f>"""GP"",""Ute Indian Tribe Membership Fund"",""aaa_contract_detail_sp"",""JRNENTRY"",""1579707"",""aaGLHdrID"",""1747596"",""aaGLDistID"",""17"",""aaGLAssignID"",""1"",""contract"",""3460 92 URHS FY2025"""</f>
        <v>"GP","Ute Indian Tribe Membership Fund","aaa_contract_detail_sp","JRNENTRY","1579707","aaGLHdrID","1747596","aaGLDistID","17","aaGLAssignID","1","contract","3460 92 URHS FY2025"</v>
      </c>
      <c r="L218" s="44">
        <v>45645</v>
      </c>
      <c r="M218" s="31">
        <v>1579707</v>
      </c>
      <c r="N218" s="31" t="str">
        <f>""</f>
        <v/>
      </c>
      <c r="O218" s="31" t="str">
        <f>""</f>
        <v/>
      </c>
      <c r="P218" s="31" t="str">
        <f>""</f>
        <v/>
      </c>
      <c r="Q218" s="45" t="str">
        <f>""</f>
        <v/>
      </c>
      <c r="R218" s="46">
        <v>45.32</v>
      </c>
      <c r="S218" s="46">
        <v>0</v>
      </c>
      <c r="T218" s="47">
        <f t="shared" si="12"/>
        <v>45.32</v>
      </c>
    </row>
    <row r="219" spans="1:20" s="31" customFormat="1" x14ac:dyDescent="0.25">
      <c r="A219" s="25" t="s">
        <v>25</v>
      </c>
      <c r="B219" s="42"/>
      <c r="C219" s="42"/>
      <c r="D219" s="25"/>
      <c r="E219" s="25"/>
      <c r="F219" s="42" t="e">
        <f t="shared" si="11"/>
        <v>#REF!</v>
      </c>
      <c r="G219" s="42" t="e">
        <f t="shared" si="11"/>
        <v>#REF!</v>
      </c>
      <c r="H219" s="43"/>
      <c r="K219" s="31" t="str">
        <f>"""GP"",""Ute Indian Tribe Membership Fund"",""aaa_contract_detail_sp"",""JRNENTRY"",""1579708"",""aaGLHdrID"",""1747597"",""aaGLDistID"",""15"",""aaGLAssignID"",""1"",""contract"",""3460 92 URHS FY2025"""</f>
        <v>"GP","Ute Indian Tribe Membership Fund","aaa_contract_detail_sp","JRNENTRY","1579708","aaGLHdrID","1747597","aaGLDistID","15","aaGLAssignID","1","contract","3460 92 URHS FY2025"</v>
      </c>
      <c r="L219" s="44">
        <v>45645</v>
      </c>
      <c r="M219" s="31">
        <v>1579708</v>
      </c>
      <c r="N219" s="31" t="str">
        <f>""</f>
        <v/>
      </c>
      <c r="O219" s="31" t="str">
        <f>""</f>
        <v/>
      </c>
      <c r="P219" s="31" t="str">
        <f>""</f>
        <v/>
      </c>
      <c r="Q219" s="45" t="str">
        <f>""</f>
        <v/>
      </c>
      <c r="R219" s="46">
        <v>205.37</v>
      </c>
      <c r="S219" s="46">
        <v>0</v>
      </c>
      <c r="T219" s="47">
        <f t="shared" si="12"/>
        <v>205.37</v>
      </c>
    </row>
    <row r="220" spans="1:20" s="31" customFormat="1" x14ac:dyDescent="0.25">
      <c r="A220" s="25" t="s">
        <v>25</v>
      </c>
      <c r="B220" s="42"/>
      <c r="C220" s="42"/>
      <c r="D220" s="25"/>
      <c r="E220" s="25"/>
      <c r="F220" s="42" t="e">
        <f t="shared" si="11"/>
        <v>#REF!</v>
      </c>
      <c r="G220" s="42" t="e">
        <f t="shared" si="11"/>
        <v>#REF!</v>
      </c>
      <c r="H220" s="43"/>
      <c r="K220" s="31" t="str">
        <f>"""GP"",""Ute Indian Tribe Membership Fund"",""aaa_contract_detail_sp"",""JRNENTRY"",""1579708"",""aaGLHdrID"",""1747597"",""aaGLDistID"",""16"",""aaGLAssignID"",""1"",""contract"",""3460 92 URHS FY2025"""</f>
        <v>"GP","Ute Indian Tribe Membership Fund","aaa_contract_detail_sp","JRNENTRY","1579708","aaGLHdrID","1747597","aaGLDistID","16","aaGLAssignID","1","contract","3460 92 URHS FY2025"</v>
      </c>
      <c r="L220" s="44">
        <v>45645</v>
      </c>
      <c r="M220" s="31">
        <v>1579708</v>
      </c>
      <c r="N220" s="31" t="str">
        <f>""</f>
        <v/>
      </c>
      <c r="O220" s="31" t="str">
        <f>""</f>
        <v/>
      </c>
      <c r="P220" s="31" t="str">
        <f>""</f>
        <v/>
      </c>
      <c r="Q220" s="45" t="str">
        <f>""</f>
        <v/>
      </c>
      <c r="R220" s="46">
        <v>48.03</v>
      </c>
      <c r="S220" s="46">
        <v>0</v>
      </c>
      <c r="T220" s="47">
        <f t="shared" si="12"/>
        <v>48.03</v>
      </c>
    </row>
    <row r="221" spans="1:20" s="31" customFormat="1" x14ac:dyDescent="0.25">
      <c r="A221" s="25" t="s">
        <v>25</v>
      </c>
      <c r="B221" s="42"/>
      <c r="C221" s="42"/>
      <c r="D221" s="25"/>
      <c r="E221" s="25"/>
      <c r="F221" s="42" t="e">
        <f t="shared" si="11"/>
        <v>#REF!</v>
      </c>
      <c r="G221" s="42" t="e">
        <f t="shared" si="11"/>
        <v>#REF!</v>
      </c>
      <c r="H221" s="43"/>
      <c r="K221" s="31" t="str">
        <f>"""GP"",""Ute Indian Tribe Membership Fund"",""aaa_contract_detail_sp"",""JRNENTRY"",""1579799"",""aaGLHdrID"",""1747688"",""aaGLDistID"",""16"",""aaGLAssignID"",""1"",""contract"",""3460 92 URHS FY2025"""</f>
        <v>"GP","Ute Indian Tribe Membership Fund","aaa_contract_detail_sp","JRNENTRY","1579799","aaGLHdrID","1747688","aaGLDistID","16","aaGLAssignID","1","contract","3460 92 URHS FY2025"</v>
      </c>
      <c r="L221" s="44">
        <v>45645</v>
      </c>
      <c r="M221" s="31">
        <v>1579799</v>
      </c>
      <c r="N221" s="31" t="str">
        <f>""</f>
        <v/>
      </c>
      <c r="O221" s="31" t="str">
        <f>""</f>
        <v/>
      </c>
      <c r="P221" s="31" t="str">
        <f>""</f>
        <v/>
      </c>
      <c r="Q221" s="45" t="str">
        <f>""</f>
        <v/>
      </c>
      <c r="R221" s="46">
        <v>188.25</v>
      </c>
      <c r="S221" s="46">
        <v>0</v>
      </c>
      <c r="T221" s="47">
        <f t="shared" si="12"/>
        <v>188.25</v>
      </c>
    </row>
    <row r="222" spans="1:20" s="31" customFormat="1" x14ac:dyDescent="0.25">
      <c r="A222" s="25" t="s">
        <v>25</v>
      </c>
      <c r="B222" s="42"/>
      <c r="C222" s="42"/>
      <c r="D222" s="25"/>
      <c r="E222" s="25"/>
      <c r="F222" s="42" t="e">
        <f t="shared" si="11"/>
        <v>#REF!</v>
      </c>
      <c r="G222" s="42" t="e">
        <f t="shared" si="11"/>
        <v>#REF!</v>
      </c>
      <c r="H222" s="43"/>
      <c r="K222" s="31" t="str">
        <f>"""GP"",""Ute Indian Tribe Membership Fund"",""aaa_contract_detail_sp"",""JRNENTRY"",""1579799"",""aaGLHdrID"",""1747688"",""aaGLDistID"",""17"",""aaGLAssignID"",""1"",""contract"",""3460 92 URHS FY2025"""</f>
        <v>"GP","Ute Indian Tribe Membership Fund","aaa_contract_detail_sp","JRNENTRY","1579799","aaGLHdrID","1747688","aaGLDistID","17","aaGLAssignID","1","contract","3460 92 URHS FY2025"</v>
      </c>
      <c r="L222" s="44">
        <v>45645</v>
      </c>
      <c r="M222" s="31">
        <v>1579799</v>
      </c>
      <c r="N222" s="31" t="str">
        <f>""</f>
        <v/>
      </c>
      <c r="O222" s="31" t="str">
        <f>""</f>
        <v/>
      </c>
      <c r="P222" s="31" t="str">
        <f>""</f>
        <v/>
      </c>
      <c r="Q222" s="45" t="str">
        <f>""</f>
        <v/>
      </c>
      <c r="R222" s="46">
        <v>44.03</v>
      </c>
      <c r="S222" s="46">
        <v>0</v>
      </c>
      <c r="T222" s="47">
        <f t="shared" si="12"/>
        <v>44.03</v>
      </c>
    </row>
    <row r="223" spans="1:20" s="31" customFormat="1" x14ac:dyDescent="0.25">
      <c r="A223" s="25" t="s">
        <v>25</v>
      </c>
      <c r="B223" s="42"/>
      <c r="C223" s="42"/>
      <c r="D223" s="25"/>
      <c r="E223" s="25"/>
      <c r="F223" s="42" t="e">
        <f t="shared" si="11"/>
        <v>#REF!</v>
      </c>
      <c r="G223" s="42" t="e">
        <f t="shared" si="11"/>
        <v>#REF!</v>
      </c>
      <c r="H223" s="43"/>
      <c r="K223" s="31" t="str">
        <f>"""GP"",""Ute Indian Tribe Membership Fund"",""aaa_contract_detail_sp"",""JRNENTRY"",""1579879"",""aaGLHdrID"",""1747768"",""aaGLDistID"",""14"",""aaGLAssignID"",""1"",""contract"",""3460 92 URHS FY2025"""</f>
        <v>"GP","Ute Indian Tribe Membership Fund","aaa_contract_detail_sp","JRNENTRY","1579879","aaGLHdrID","1747768","aaGLDistID","14","aaGLAssignID","1","contract","3460 92 URHS FY2025"</v>
      </c>
      <c r="L223" s="44">
        <v>45645</v>
      </c>
      <c r="M223" s="31">
        <v>1579879</v>
      </c>
      <c r="N223" s="31" t="str">
        <f>""</f>
        <v/>
      </c>
      <c r="O223" s="31" t="str">
        <f>""</f>
        <v/>
      </c>
      <c r="P223" s="31" t="str">
        <f>""</f>
        <v/>
      </c>
      <c r="Q223" s="45" t="str">
        <f>""</f>
        <v/>
      </c>
      <c r="R223" s="46">
        <v>101.02</v>
      </c>
      <c r="S223" s="46">
        <v>0</v>
      </c>
      <c r="T223" s="47">
        <f t="shared" si="12"/>
        <v>101.02</v>
      </c>
    </row>
    <row r="224" spans="1:20" s="31" customFormat="1" x14ac:dyDescent="0.25">
      <c r="A224" s="25" t="s">
        <v>25</v>
      </c>
      <c r="B224" s="42"/>
      <c r="C224" s="42"/>
      <c r="D224" s="25"/>
      <c r="E224" s="25"/>
      <c r="F224" s="42" t="e">
        <f t="shared" si="11"/>
        <v>#REF!</v>
      </c>
      <c r="G224" s="42" t="e">
        <f t="shared" si="11"/>
        <v>#REF!</v>
      </c>
      <c r="H224" s="43"/>
      <c r="K224" s="31" t="str">
        <f>"""GP"",""Ute Indian Tribe Membership Fund"",""aaa_contract_detail_sp"",""JRNENTRY"",""1579879"",""aaGLHdrID"",""1747768"",""aaGLDistID"",""15"",""aaGLAssignID"",""1"",""contract"",""3460 92 URHS FY2025"""</f>
        <v>"GP","Ute Indian Tribe Membership Fund","aaa_contract_detail_sp","JRNENTRY","1579879","aaGLHdrID","1747768","aaGLDistID","15","aaGLAssignID","1","contract","3460 92 URHS FY2025"</v>
      </c>
      <c r="L224" s="44">
        <v>45645</v>
      </c>
      <c r="M224" s="31">
        <v>1579879</v>
      </c>
      <c r="N224" s="31" t="str">
        <f>""</f>
        <v/>
      </c>
      <c r="O224" s="31" t="str">
        <f>""</f>
        <v/>
      </c>
      <c r="P224" s="31" t="str">
        <f>""</f>
        <v/>
      </c>
      <c r="Q224" s="45" t="str">
        <f>""</f>
        <v/>
      </c>
      <c r="R224" s="46">
        <v>23.63</v>
      </c>
      <c r="S224" s="46">
        <v>0</v>
      </c>
      <c r="T224" s="47">
        <f t="shared" si="12"/>
        <v>23.63</v>
      </c>
    </row>
    <row r="225" spans="1:20" s="31" customFormat="1" x14ac:dyDescent="0.25">
      <c r="A225" s="25" t="s">
        <v>25</v>
      </c>
      <c r="B225" s="42"/>
      <c r="C225" s="42"/>
      <c r="D225" s="25"/>
      <c r="E225" s="25"/>
      <c r="F225" s="42" t="e">
        <f t="shared" si="11"/>
        <v>#REF!</v>
      </c>
      <c r="G225" s="42" t="e">
        <f t="shared" si="11"/>
        <v>#REF!</v>
      </c>
      <c r="H225" s="43"/>
      <c r="K225" s="31" t="str">
        <f>"""GP"",""Ute Indian Tribe Membership Fund"",""aaa_contract_detail_sp"",""JRNENTRY"",""1579883"",""aaGLHdrID"",""1747772"",""aaGLDistID"",""17"",""aaGLAssignID"",""1"",""contract"",""3460 92 URHS FY2025"""</f>
        <v>"GP","Ute Indian Tribe Membership Fund","aaa_contract_detail_sp","JRNENTRY","1579883","aaGLHdrID","1747772","aaGLDistID","17","aaGLAssignID","1","contract","3460 92 URHS FY2025"</v>
      </c>
      <c r="L225" s="44">
        <v>45645</v>
      </c>
      <c r="M225" s="31">
        <v>1579883</v>
      </c>
      <c r="N225" s="31" t="str">
        <f>""</f>
        <v/>
      </c>
      <c r="O225" s="31" t="str">
        <f>""</f>
        <v/>
      </c>
      <c r="P225" s="31" t="str">
        <f>""</f>
        <v/>
      </c>
      <c r="Q225" s="45" t="str">
        <f>""</f>
        <v/>
      </c>
      <c r="R225" s="46">
        <v>109.65</v>
      </c>
      <c r="S225" s="46">
        <v>0</v>
      </c>
      <c r="T225" s="47">
        <f t="shared" si="12"/>
        <v>109.65</v>
      </c>
    </row>
    <row r="226" spans="1:20" s="31" customFormat="1" x14ac:dyDescent="0.25">
      <c r="A226" s="25" t="s">
        <v>25</v>
      </c>
      <c r="B226" s="42"/>
      <c r="C226" s="42"/>
      <c r="D226" s="25"/>
      <c r="E226" s="25"/>
      <c r="F226" s="42" t="e">
        <f t="shared" ref="F226:G260" si="13">F225</f>
        <v>#REF!</v>
      </c>
      <c r="G226" s="42" t="e">
        <f t="shared" si="13"/>
        <v>#REF!</v>
      </c>
      <c r="H226" s="43"/>
      <c r="K226" s="31" t="str">
        <f>"""GP"",""Ute Indian Tribe Membership Fund"",""aaa_contract_detail_sp"",""JRNENTRY"",""1579883"",""aaGLHdrID"",""1747772"",""aaGLDistID"",""18"",""aaGLAssignID"",""1"",""contract"",""3460 92 URHS FY2025"""</f>
        <v>"GP","Ute Indian Tribe Membership Fund","aaa_contract_detail_sp","JRNENTRY","1579883","aaGLHdrID","1747772","aaGLDistID","18","aaGLAssignID","1","contract","3460 92 URHS FY2025"</v>
      </c>
      <c r="L226" s="44">
        <v>45645</v>
      </c>
      <c r="M226" s="31">
        <v>1579883</v>
      </c>
      <c r="N226" s="31" t="str">
        <f>""</f>
        <v/>
      </c>
      <c r="O226" s="31" t="str">
        <f>""</f>
        <v/>
      </c>
      <c r="P226" s="31" t="str">
        <f>""</f>
        <v/>
      </c>
      <c r="Q226" s="45" t="str">
        <f>""</f>
        <v/>
      </c>
      <c r="R226" s="46">
        <v>25.64</v>
      </c>
      <c r="S226" s="46">
        <v>0</v>
      </c>
      <c r="T226" s="47">
        <f t="shared" ref="T226:T260" si="14">SUM(R226:S226)</f>
        <v>25.64</v>
      </c>
    </row>
    <row r="227" spans="1:20" s="31" customFormat="1" x14ac:dyDescent="0.25">
      <c r="A227" s="25" t="s">
        <v>25</v>
      </c>
      <c r="B227" s="42"/>
      <c r="C227" s="42"/>
      <c r="D227" s="25"/>
      <c r="E227" s="25"/>
      <c r="F227" s="42" t="e">
        <f t="shared" si="13"/>
        <v>#REF!</v>
      </c>
      <c r="G227" s="42" t="e">
        <f t="shared" si="13"/>
        <v>#REF!</v>
      </c>
      <c r="H227" s="43"/>
      <c r="K227" s="31" t="str">
        <f>"""GP"",""Ute Indian Tribe Membership Fund"",""aaa_contract_detail_sp"",""JRNENTRY"",""1581194"",""aaGLHdrID"",""1750113"",""aaGLDistID"",""24"",""aaGLAssignID"",""1"",""contract"",""3460 92 URHS FY2025"""</f>
        <v>"GP","Ute Indian Tribe Membership Fund","aaa_contract_detail_sp","JRNENTRY","1581194","aaGLHdrID","1750113","aaGLDistID","24","aaGLAssignID","1","contract","3460 92 URHS FY2025"</v>
      </c>
      <c r="L227" s="44">
        <v>45645</v>
      </c>
      <c r="M227" s="31">
        <v>1581194</v>
      </c>
      <c r="N227" s="31" t="str">
        <f>""</f>
        <v/>
      </c>
      <c r="O227" s="31" t="str">
        <f>""</f>
        <v/>
      </c>
      <c r="P227" s="31" t="str">
        <f>""</f>
        <v/>
      </c>
      <c r="Q227" s="45" t="str">
        <f>""</f>
        <v/>
      </c>
      <c r="R227" s="46">
        <v>33.03</v>
      </c>
      <c r="S227" s="46">
        <v>0</v>
      </c>
      <c r="T227" s="47">
        <f t="shared" si="14"/>
        <v>33.03</v>
      </c>
    </row>
    <row r="228" spans="1:20" s="31" customFormat="1" x14ac:dyDescent="0.25">
      <c r="A228" s="25" t="s">
        <v>25</v>
      </c>
      <c r="B228" s="42"/>
      <c r="C228" s="42"/>
      <c r="D228" s="25"/>
      <c r="E228" s="25"/>
      <c r="F228" s="42" t="e">
        <f t="shared" si="13"/>
        <v>#REF!</v>
      </c>
      <c r="G228" s="42" t="e">
        <f t="shared" si="13"/>
        <v>#REF!</v>
      </c>
      <c r="H228" s="43"/>
      <c r="K228" s="31" t="str">
        <f>"""GP"",""Ute Indian Tribe Membership Fund"",""aaa_contract_detail_sp"",""JRNENTRY"",""1581194"",""aaGLHdrID"",""1750113"",""aaGLDistID"",""481"",""aaGLAssignID"",""1"",""contract"",""3460 92 URHS FY2025"""</f>
        <v>"GP","Ute Indian Tribe Membership Fund","aaa_contract_detail_sp","JRNENTRY","1581194","aaGLHdrID","1750113","aaGLDistID","481","aaGLAssignID","1","contract","3460 92 URHS FY2025"</v>
      </c>
      <c r="L228" s="44">
        <v>45645</v>
      </c>
      <c r="M228" s="31">
        <v>1581194</v>
      </c>
      <c r="N228" s="31" t="str">
        <f>""</f>
        <v/>
      </c>
      <c r="O228" s="31" t="str">
        <f>""</f>
        <v/>
      </c>
      <c r="P228" s="31" t="str">
        <f>""</f>
        <v/>
      </c>
      <c r="Q228" s="45" t="str">
        <f>""</f>
        <v/>
      </c>
      <c r="R228" s="46">
        <v>44.49</v>
      </c>
      <c r="S228" s="46">
        <v>0</v>
      </c>
      <c r="T228" s="47">
        <f t="shared" si="14"/>
        <v>44.49</v>
      </c>
    </row>
    <row r="229" spans="1:20" s="31" customFormat="1" x14ac:dyDescent="0.25">
      <c r="A229" s="25" t="s">
        <v>25</v>
      </c>
      <c r="B229" s="42"/>
      <c r="C229" s="42"/>
      <c r="D229" s="25"/>
      <c r="E229" s="25"/>
      <c r="F229" s="42" t="e">
        <f t="shared" si="13"/>
        <v>#REF!</v>
      </c>
      <c r="G229" s="42" t="e">
        <f t="shared" si="13"/>
        <v>#REF!</v>
      </c>
      <c r="H229" s="43"/>
      <c r="K229" s="31" t="str">
        <f>"""GP"",""Ute Indian Tribe Membership Fund"",""aaa_contract_detail_sp"",""JRNENTRY"",""1581194"",""aaGLHdrID"",""1750113"",""aaGLDistID"",""482"",""aaGLAssignID"",""1"",""contract"",""3460 92 URHS FY2025"""</f>
        <v>"GP","Ute Indian Tribe Membership Fund","aaa_contract_detail_sp","JRNENTRY","1581194","aaGLHdrID","1750113","aaGLDistID","482","aaGLAssignID","1","contract","3460 92 URHS FY2025"</v>
      </c>
      <c r="L229" s="44">
        <v>45645</v>
      </c>
      <c r="M229" s="31">
        <v>1581194</v>
      </c>
      <c r="N229" s="31" t="str">
        <f>""</f>
        <v/>
      </c>
      <c r="O229" s="31" t="str">
        <f>""</f>
        <v/>
      </c>
      <c r="P229" s="31" t="str">
        <f>""</f>
        <v/>
      </c>
      <c r="Q229" s="45" t="str">
        <f>""</f>
        <v/>
      </c>
      <c r="R229" s="46">
        <v>33.130000000000003</v>
      </c>
      <c r="S229" s="46">
        <v>0</v>
      </c>
      <c r="T229" s="47">
        <f t="shared" si="14"/>
        <v>33.130000000000003</v>
      </c>
    </row>
    <row r="230" spans="1:20" s="31" customFormat="1" x14ac:dyDescent="0.25">
      <c r="A230" s="25" t="s">
        <v>25</v>
      </c>
      <c r="B230" s="42"/>
      <c r="C230" s="42"/>
      <c r="D230" s="25"/>
      <c r="E230" s="25"/>
      <c r="F230" s="42" t="e">
        <f t="shared" si="13"/>
        <v>#REF!</v>
      </c>
      <c r="G230" s="42" t="e">
        <f t="shared" si="13"/>
        <v>#REF!</v>
      </c>
      <c r="H230" s="43"/>
      <c r="K230" s="31" t="str">
        <f>"""GP"",""Ute Indian Tribe Membership Fund"",""aaa_contract_detail_sp"",""JRNENTRY"",""1581194"",""aaGLHdrID"",""1750113"",""aaGLDistID"",""483"",""aaGLAssignID"",""1"",""contract"",""3460 92 URHS FY2025"""</f>
        <v>"GP","Ute Indian Tribe Membership Fund","aaa_contract_detail_sp","JRNENTRY","1581194","aaGLHdrID","1750113","aaGLDistID","483","aaGLAssignID","1","contract","3460 92 URHS FY2025"</v>
      </c>
      <c r="L230" s="44">
        <v>45645</v>
      </c>
      <c r="M230" s="31">
        <v>1581194</v>
      </c>
      <c r="N230" s="31" t="str">
        <f>""</f>
        <v/>
      </c>
      <c r="O230" s="31" t="str">
        <f>""</f>
        <v/>
      </c>
      <c r="P230" s="31" t="str">
        <f>""</f>
        <v/>
      </c>
      <c r="Q230" s="45" t="str">
        <f>""</f>
        <v/>
      </c>
      <c r="R230" s="46">
        <v>73.77</v>
      </c>
      <c r="S230" s="46">
        <v>0</v>
      </c>
      <c r="T230" s="47">
        <f t="shared" si="14"/>
        <v>73.77</v>
      </c>
    </row>
    <row r="231" spans="1:20" s="31" customFormat="1" x14ac:dyDescent="0.25">
      <c r="A231" s="25" t="s">
        <v>25</v>
      </c>
      <c r="B231" s="42"/>
      <c r="C231" s="42"/>
      <c r="D231" s="25"/>
      <c r="E231" s="25"/>
      <c r="F231" s="42" t="e">
        <f t="shared" si="13"/>
        <v>#REF!</v>
      </c>
      <c r="G231" s="42" t="e">
        <f t="shared" si="13"/>
        <v>#REF!</v>
      </c>
      <c r="H231" s="43"/>
      <c r="K231" s="31" t="str">
        <f>"""GP"",""Ute Indian Tribe Membership Fund"",""aaa_contract_detail_sp"",""JRNENTRY"",""1581194"",""aaGLHdrID"",""1750113"",""aaGLDistID"",""484"",""aaGLAssignID"",""1"",""contract"",""3460 92 URHS FY2025"""</f>
        <v>"GP","Ute Indian Tribe Membership Fund","aaa_contract_detail_sp","JRNENTRY","1581194","aaGLHdrID","1750113","aaGLDistID","484","aaGLAssignID","1","contract","3460 92 URHS FY2025"</v>
      </c>
      <c r="L231" s="44">
        <v>45645</v>
      </c>
      <c r="M231" s="31">
        <v>1581194</v>
      </c>
      <c r="N231" s="31" t="str">
        <f>""</f>
        <v/>
      </c>
      <c r="O231" s="31" t="str">
        <f>""</f>
        <v/>
      </c>
      <c r="P231" s="31" t="str">
        <f>""</f>
        <v/>
      </c>
      <c r="Q231" s="45" t="str">
        <f>""</f>
        <v/>
      </c>
      <c r="R231" s="46">
        <v>32.03</v>
      </c>
      <c r="S231" s="46">
        <v>0</v>
      </c>
      <c r="T231" s="47">
        <f t="shared" si="14"/>
        <v>32.03</v>
      </c>
    </row>
    <row r="232" spans="1:20" s="31" customFormat="1" x14ac:dyDescent="0.25">
      <c r="A232" s="25" t="s">
        <v>25</v>
      </c>
      <c r="B232" s="42"/>
      <c r="C232" s="42"/>
      <c r="D232" s="25"/>
      <c r="E232" s="25"/>
      <c r="F232" s="42" t="e">
        <f t="shared" si="13"/>
        <v>#REF!</v>
      </c>
      <c r="G232" s="42" t="e">
        <f t="shared" si="13"/>
        <v>#REF!</v>
      </c>
      <c r="H232" s="43"/>
      <c r="K232" s="31" t="str">
        <f>"""GP"",""Ute Indian Tribe Membership Fund"",""aaa_contract_detail_sp"",""JRNENTRY"",""1581194"",""aaGLHdrID"",""1750113"",""aaGLDistID"",""485"",""aaGLAssignID"",""1"",""contract"",""3460 92 URHS FY2025"""</f>
        <v>"GP","Ute Indian Tribe Membership Fund","aaa_contract_detail_sp","JRNENTRY","1581194","aaGLHdrID","1750113","aaGLDistID","485","aaGLAssignID","1","contract","3460 92 URHS FY2025"</v>
      </c>
      <c r="L232" s="44">
        <v>45645</v>
      </c>
      <c r="M232" s="31">
        <v>1581194</v>
      </c>
      <c r="N232" s="31" t="str">
        <f>""</f>
        <v/>
      </c>
      <c r="O232" s="31" t="str">
        <f>""</f>
        <v/>
      </c>
      <c r="P232" s="31" t="str">
        <f>""</f>
        <v/>
      </c>
      <c r="Q232" s="45" t="str">
        <f>""</f>
        <v/>
      </c>
      <c r="R232" s="46">
        <v>150.56</v>
      </c>
      <c r="S232" s="46">
        <v>0</v>
      </c>
      <c r="T232" s="47">
        <f t="shared" si="14"/>
        <v>150.56</v>
      </c>
    </row>
    <row r="233" spans="1:20" s="31" customFormat="1" x14ac:dyDescent="0.25">
      <c r="A233" s="25" t="s">
        <v>25</v>
      </c>
      <c r="B233" s="42"/>
      <c r="C233" s="42"/>
      <c r="D233" s="25"/>
      <c r="E233" s="25"/>
      <c r="F233" s="42" t="e">
        <f t="shared" si="13"/>
        <v>#REF!</v>
      </c>
      <c r="G233" s="42" t="e">
        <f t="shared" si="13"/>
        <v>#REF!</v>
      </c>
      <c r="H233" s="43"/>
      <c r="K233" s="31" t="str">
        <f>"""GP"",""Ute Indian Tribe Membership Fund"",""aaa_contract_detail_sp"",""JRNENTRY"",""1581194"",""aaGLHdrID"",""1750113"",""aaGLDistID"",""486"",""aaGLAssignID"",""1"",""contract"",""3460 92 URHS FY2025"""</f>
        <v>"GP","Ute Indian Tribe Membership Fund","aaa_contract_detail_sp","JRNENTRY","1581194","aaGLHdrID","1750113","aaGLDistID","486","aaGLAssignID","1","contract","3460 92 URHS FY2025"</v>
      </c>
      <c r="L233" s="44">
        <v>45645</v>
      </c>
      <c r="M233" s="31">
        <v>1581194</v>
      </c>
      <c r="N233" s="31" t="str">
        <f>""</f>
        <v/>
      </c>
      <c r="O233" s="31" t="str">
        <f>""</f>
        <v/>
      </c>
      <c r="P233" s="31" t="str">
        <f>""</f>
        <v/>
      </c>
      <c r="Q233" s="45" t="str">
        <f>""</f>
        <v/>
      </c>
      <c r="R233" s="46">
        <v>30.36</v>
      </c>
      <c r="S233" s="46">
        <v>0</v>
      </c>
      <c r="T233" s="47">
        <f t="shared" si="14"/>
        <v>30.36</v>
      </c>
    </row>
    <row r="234" spans="1:20" s="31" customFormat="1" x14ac:dyDescent="0.25">
      <c r="A234" s="25" t="s">
        <v>25</v>
      </c>
      <c r="B234" s="42"/>
      <c r="C234" s="42"/>
      <c r="D234" s="25"/>
      <c r="E234" s="25"/>
      <c r="F234" s="42" t="e">
        <f t="shared" si="13"/>
        <v>#REF!</v>
      </c>
      <c r="G234" s="42" t="e">
        <f t="shared" si="13"/>
        <v>#REF!</v>
      </c>
      <c r="H234" s="43"/>
      <c r="K234" s="31" t="str">
        <f>"""GP"",""Ute Indian Tribe Membership Fund"",""aaa_contract_detail_sp"",""JRNENTRY"",""1581194"",""aaGLHdrID"",""1750113"",""aaGLDistID"",""487"",""aaGLAssignID"",""1"",""contract"",""3460 92 URHS FY2025"""</f>
        <v>"GP","Ute Indian Tribe Membership Fund","aaa_contract_detail_sp","JRNENTRY","1581194","aaGLHdrID","1750113","aaGLDistID","487","aaGLAssignID","1","contract","3460 92 URHS FY2025"</v>
      </c>
      <c r="L234" s="44">
        <v>45645</v>
      </c>
      <c r="M234" s="31">
        <v>1581194</v>
      </c>
      <c r="N234" s="31" t="str">
        <f>""</f>
        <v/>
      </c>
      <c r="O234" s="31" t="str">
        <f>""</f>
        <v/>
      </c>
      <c r="P234" s="31" t="str">
        <f>""</f>
        <v/>
      </c>
      <c r="Q234" s="45" t="str">
        <f>""</f>
        <v/>
      </c>
      <c r="R234" s="46">
        <v>27.73</v>
      </c>
      <c r="S234" s="46">
        <v>0</v>
      </c>
      <c r="T234" s="47">
        <f t="shared" si="14"/>
        <v>27.73</v>
      </c>
    </row>
    <row r="235" spans="1:20" s="31" customFormat="1" x14ac:dyDescent="0.25">
      <c r="A235" s="25" t="s">
        <v>25</v>
      </c>
      <c r="B235" s="42"/>
      <c r="C235" s="42"/>
      <c r="D235" s="25"/>
      <c r="E235" s="25"/>
      <c r="F235" s="42" t="e">
        <f t="shared" si="13"/>
        <v>#REF!</v>
      </c>
      <c r="G235" s="42" t="e">
        <f t="shared" si="13"/>
        <v>#REF!</v>
      </c>
      <c r="H235" s="43"/>
      <c r="K235" s="31" t="str">
        <f>"""GP"",""Ute Indian Tribe Membership Fund"",""aaa_contract_detail_sp"",""JRNENTRY"",""1580575"",""aaGLHdrID"",""1748314"",""aaGLDistID"",""16"",""aaGLAssignID"",""1"",""contract"",""3460 92 URHS FY2025"""</f>
        <v>"GP","Ute Indian Tribe Membership Fund","aaa_contract_detail_sp","JRNENTRY","1580575","aaGLHdrID","1748314","aaGLDistID","16","aaGLAssignID","1","contract","3460 92 URHS FY2025"</v>
      </c>
      <c r="L235" s="44">
        <v>45656</v>
      </c>
      <c r="M235" s="31">
        <v>1580575</v>
      </c>
      <c r="N235" s="31" t="str">
        <f>""</f>
        <v/>
      </c>
      <c r="O235" s="31" t="str">
        <f>""</f>
        <v/>
      </c>
      <c r="P235" s="31" t="str">
        <f>""</f>
        <v/>
      </c>
      <c r="Q235" s="45" t="str">
        <f>""</f>
        <v/>
      </c>
      <c r="R235" s="46">
        <v>143.16999999999999</v>
      </c>
      <c r="S235" s="46">
        <v>0</v>
      </c>
      <c r="T235" s="47">
        <f t="shared" si="14"/>
        <v>143.16999999999999</v>
      </c>
    </row>
    <row r="236" spans="1:20" s="31" customFormat="1" x14ac:dyDescent="0.25">
      <c r="A236" s="25" t="s">
        <v>25</v>
      </c>
      <c r="B236" s="42"/>
      <c r="C236" s="42"/>
      <c r="D236" s="25"/>
      <c r="E236" s="25"/>
      <c r="F236" s="42" t="e">
        <f t="shared" si="13"/>
        <v>#REF!</v>
      </c>
      <c r="G236" s="42" t="e">
        <f t="shared" si="13"/>
        <v>#REF!</v>
      </c>
      <c r="H236" s="43"/>
      <c r="K236" s="31" t="str">
        <f>"""GP"",""Ute Indian Tribe Membership Fund"",""aaa_contract_detail_sp"",""JRNENTRY"",""1580575"",""aaGLHdrID"",""1748314"",""aaGLDistID"",""17"",""aaGLAssignID"",""1"",""contract"",""3460 92 URHS FY2025"""</f>
        <v>"GP","Ute Indian Tribe Membership Fund","aaa_contract_detail_sp","JRNENTRY","1580575","aaGLHdrID","1748314","aaGLDistID","17","aaGLAssignID","1","contract","3460 92 URHS FY2025"</v>
      </c>
      <c r="L236" s="44">
        <v>45656</v>
      </c>
      <c r="M236" s="31">
        <v>1580575</v>
      </c>
      <c r="N236" s="31" t="str">
        <f>""</f>
        <v/>
      </c>
      <c r="O236" s="31" t="str">
        <f>""</f>
        <v/>
      </c>
      <c r="P236" s="31" t="str">
        <f>""</f>
        <v/>
      </c>
      <c r="Q236" s="45" t="str">
        <f>""</f>
        <v/>
      </c>
      <c r="R236" s="46">
        <v>33.479999999999997</v>
      </c>
      <c r="S236" s="46">
        <v>0</v>
      </c>
      <c r="T236" s="47">
        <f t="shared" si="14"/>
        <v>33.479999999999997</v>
      </c>
    </row>
    <row r="237" spans="1:20" s="31" customFormat="1" x14ac:dyDescent="0.25">
      <c r="A237" s="25" t="s">
        <v>25</v>
      </c>
      <c r="B237" s="42"/>
      <c r="C237" s="42"/>
      <c r="D237" s="25"/>
      <c r="E237" s="25"/>
      <c r="F237" s="42" t="e">
        <f t="shared" si="13"/>
        <v>#REF!</v>
      </c>
      <c r="G237" s="42" t="e">
        <f t="shared" si="13"/>
        <v>#REF!</v>
      </c>
      <c r="H237" s="43"/>
      <c r="K237" s="31" t="str">
        <f>"""GP"",""Ute Indian Tribe Membership Fund"",""aaa_contract_detail_sp"",""JRNENTRY"",""1580641"",""aaGLHdrID"",""1748380"",""aaGLDistID"",""18"",""aaGLAssignID"",""1"",""contract"",""3460 92 URHS FY2025"""</f>
        <v>"GP","Ute Indian Tribe Membership Fund","aaa_contract_detail_sp","JRNENTRY","1580641","aaGLHdrID","1748380","aaGLDistID","18","aaGLAssignID","1","contract","3460 92 URHS FY2025"</v>
      </c>
      <c r="L237" s="44">
        <v>45656</v>
      </c>
      <c r="M237" s="31">
        <v>1580641</v>
      </c>
      <c r="N237" s="31" t="str">
        <f>""</f>
        <v/>
      </c>
      <c r="O237" s="31" t="str">
        <f>""</f>
        <v/>
      </c>
      <c r="P237" s="31" t="str">
        <f>""</f>
        <v/>
      </c>
      <c r="Q237" s="45" t="str">
        <f>""</f>
        <v/>
      </c>
      <c r="R237" s="46">
        <v>176.61</v>
      </c>
      <c r="S237" s="46">
        <v>0</v>
      </c>
      <c r="T237" s="47">
        <f t="shared" si="14"/>
        <v>176.61</v>
      </c>
    </row>
    <row r="238" spans="1:20" s="31" customFormat="1" x14ac:dyDescent="0.25">
      <c r="A238" s="25" t="s">
        <v>25</v>
      </c>
      <c r="B238" s="42"/>
      <c r="C238" s="42"/>
      <c r="D238" s="25"/>
      <c r="E238" s="25"/>
      <c r="F238" s="42" t="e">
        <f t="shared" si="13"/>
        <v>#REF!</v>
      </c>
      <c r="G238" s="42" t="e">
        <f t="shared" si="13"/>
        <v>#REF!</v>
      </c>
      <c r="H238" s="43"/>
      <c r="K238" s="31" t="str">
        <f>"""GP"",""Ute Indian Tribe Membership Fund"",""aaa_contract_detail_sp"",""JRNENTRY"",""1580641"",""aaGLHdrID"",""1748380"",""aaGLDistID"",""19"",""aaGLAssignID"",""1"",""contract"",""3460 92 URHS FY2025"""</f>
        <v>"GP","Ute Indian Tribe Membership Fund","aaa_contract_detail_sp","JRNENTRY","1580641","aaGLHdrID","1748380","aaGLDistID","19","aaGLAssignID","1","contract","3460 92 URHS FY2025"</v>
      </c>
      <c r="L238" s="44">
        <v>45656</v>
      </c>
      <c r="M238" s="31">
        <v>1580641</v>
      </c>
      <c r="N238" s="31" t="str">
        <f>""</f>
        <v/>
      </c>
      <c r="O238" s="31" t="str">
        <f>""</f>
        <v/>
      </c>
      <c r="P238" s="31" t="str">
        <f>""</f>
        <v/>
      </c>
      <c r="Q238" s="45" t="str">
        <f>""</f>
        <v/>
      </c>
      <c r="R238" s="46">
        <v>41.3</v>
      </c>
      <c r="S238" s="46">
        <v>0</v>
      </c>
      <c r="T238" s="47">
        <f t="shared" si="14"/>
        <v>41.3</v>
      </c>
    </row>
    <row r="239" spans="1:20" s="31" customFormat="1" x14ac:dyDescent="0.25">
      <c r="A239" s="25" t="s">
        <v>25</v>
      </c>
      <c r="B239" s="42"/>
      <c r="C239" s="42"/>
      <c r="D239" s="25"/>
      <c r="E239" s="25"/>
      <c r="F239" s="42" t="e">
        <f t="shared" si="13"/>
        <v>#REF!</v>
      </c>
      <c r="G239" s="42" t="e">
        <f t="shared" si="13"/>
        <v>#REF!</v>
      </c>
      <c r="H239" s="43"/>
      <c r="K239" s="31" t="str">
        <f>"""GP"",""Ute Indian Tribe Membership Fund"",""aaa_contract_detail_sp"",""JRNENTRY"",""1580732"",""aaGLHdrID"",""1748471"",""aaGLDistID"",""17"",""aaGLAssignID"",""1"",""contract"",""3460 92 URHS FY2025"""</f>
        <v>"GP","Ute Indian Tribe Membership Fund","aaa_contract_detail_sp","JRNENTRY","1580732","aaGLHdrID","1748471","aaGLDistID","17","aaGLAssignID","1","contract","3460 92 URHS FY2025"</v>
      </c>
      <c r="L239" s="44">
        <v>45656</v>
      </c>
      <c r="M239" s="31">
        <v>1580732</v>
      </c>
      <c r="N239" s="31" t="str">
        <f>""</f>
        <v/>
      </c>
      <c r="O239" s="31" t="str">
        <f>""</f>
        <v/>
      </c>
      <c r="P239" s="31" t="str">
        <f>""</f>
        <v/>
      </c>
      <c r="Q239" s="45" t="str">
        <f>""</f>
        <v/>
      </c>
      <c r="R239" s="46">
        <v>207.11</v>
      </c>
      <c r="S239" s="46">
        <v>0</v>
      </c>
      <c r="T239" s="47">
        <f t="shared" si="14"/>
        <v>207.11</v>
      </c>
    </row>
    <row r="240" spans="1:20" s="31" customFormat="1" x14ac:dyDescent="0.25">
      <c r="A240" s="25" t="s">
        <v>25</v>
      </c>
      <c r="B240" s="42"/>
      <c r="C240" s="42"/>
      <c r="D240" s="25"/>
      <c r="E240" s="25"/>
      <c r="F240" s="42" t="e">
        <f t="shared" si="13"/>
        <v>#REF!</v>
      </c>
      <c r="G240" s="42" t="e">
        <f t="shared" si="13"/>
        <v>#REF!</v>
      </c>
      <c r="H240" s="43"/>
      <c r="K240" s="31" t="str">
        <f>"""GP"",""Ute Indian Tribe Membership Fund"",""aaa_contract_detail_sp"",""JRNENTRY"",""1580732"",""aaGLHdrID"",""1748471"",""aaGLDistID"",""18"",""aaGLAssignID"",""1"",""contract"",""3460 92 URHS FY2025"""</f>
        <v>"GP","Ute Indian Tribe Membership Fund","aaa_contract_detail_sp","JRNENTRY","1580732","aaGLHdrID","1748471","aaGLDistID","18","aaGLAssignID","1","contract","3460 92 URHS FY2025"</v>
      </c>
      <c r="L240" s="44">
        <v>45656</v>
      </c>
      <c r="M240" s="31">
        <v>1580732</v>
      </c>
      <c r="N240" s="31" t="str">
        <f>""</f>
        <v/>
      </c>
      <c r="O240" s="31" t="str">
        <f>""</f>
        <v/>
      </c>
      <c r="P240" s="31" t="str">
        <f>""</f>
        <v/>
      </c>
      <c r="Q240" s="45" t="str">
        <f>""</f>
        <v/>
      </c>
      <c r="R240" s="46">
        <v>48.44</v>
      </c>
      <c r="S240" s="46">
        <v>0</v>
      </c>
      <c r="T240" s="47">
        <f t="shared" si="14"/>
        <v>48.44</v>
      </c>
    </row>
    <row r="241" spans="1:20" s="31" customFormat="1" x14ac:dyDescent="0.25">
      <c r="A241" s="25" t="s">
        <v>25</v>
      </c>
      <c r="B241" s="42"/>
      <c r="C241" s="42"/>
      <c r="D241" s="25"/>
      <c r="E241" s="25"/>
      <c r="F241" s="42" t="e">
        <f t="shared" si="13"/>
        <v>#REF!</v>
      </c>
      <c r="G241" s="42" t="e">
        <f t="shared" si="13"/>
        <v>#REF!</v>
      </c>
      <c r="H241" s="43"/>
      <c r="K241" s="31" t="str">
        <f>"""GP"",""Ute Indian Tribe Membership Fund"",""aaa_contract_detail_sp"",""JRNENTRY"",""1580737"",""aaGLHdrID"",""1748476"",""aaGLDistID"",""17"",""aaGLAssignID"",""1"",""contract"",""3460 92 URHS FY2025"""</f>
        <v>"GP","Ute Indian Tribe Membership Fund","aaa_contract_detail_sp","JRNENTRY","1580737","aaGLHdrID","1748476","aaGLDistID","17","aaGLAssignID","1","contract","3460 92 URHS FY2025"</v>
      </c>
      <c r="L241" s="44">
        <v>45656</v>
      </c>
      <c r="M241" s="31">
        <v>1580737</v>
      </c>
      <c r="N241" s="31" t="str">
        <f>""</f>
        <v/>
      </c>
      <c r="O241" s="31" t="str">
        <f>""</f>
        <v/>
      </c>
      <c r="P241" s="31" t="str">
        <f>""</f>
        <v/>
      </c>
      <c r="Q241" s="45" t="str">
        <f>""</f>
        <v/>
      </c>
      <c r="R241" s="46">
        <v>236.3</v>
      </c>
      <c r="S241" s="46">
        <v>0</v>
      </c>
      <c r="T241" s="47">
        <f t="shared" si="14"/>
        <v>236.3</v>
      </c>
    </row>
    <row r="242" spans="1:20" s="31" customFormat="1" x14ac:dyDescent="0.25">
      <c r="A242" s="25" t="s">
        <v>25</v>
      </c>
      <c r="B242" s="42"/>
      <c r="C242" s="42"/>
      <c r="D242" s="25"/>
      <c r="E242" s="25"/>
      <c r="F242" s="42" t="e">
        <f t="shared" si="13"/>
        <v>#REF!</v>
      </c>
      <c r="G242" s="42" t="e">
        <f t="shared" si="13"/>
        <v>#REF!</v>
      </c>
      <c r="H242" s="43"/>
      <c r="K242" s="31" t="str">
        <f>"""GP"",""Ute Indian Tribe Membership Fund"",""aaa_contract_detail_sp"",""JRNENTRY"",""1580737"",""aaGLHdrID"",""1748476"",""aaGLDistID"",""18"",""aaGLAssignID"",""1"",""contract"",""3460 92 URHS FY2025"""</f>
        <v>"GP","Ute Indian Tribe Membership Fund","aaa_contract_detail_sp","JRNENTRY","1580737","aaGLHdrID","1748476","aaGLDistID","18","aaGLAssignID","1","contract","3460 92 URHS FY2025"</v>
      </c>
      <c r="L242" s="44">
        <v>45656</v>
      </c>
      <c r="M242" s="31">
        <v>1580737</v>
      </c>
      <c r="N242" s="31" t="str">
        <f>""</f>
        <v/>
      </c>
      <c r="O242" s="31" t="str">
        <f>""</f>
        <v/>
      </c>
      <c r="P242" s="31" t="str">
        <f>""</f>
        <v/>
      </c>
      <c r="Q242" s="45" t="str">
        <f>""</f>
        <v/>
      </c>
      <c r="R242" s="46">
        <v>55.27</v>
      </c>
      <c r="S242" s="46">
        <v>0</v>
      </c>
      <c r="T242" s="47">
        <f t="shared" si="14"/>
        <v>55.27</v>
      </c>
    </row>
    <row r="243" spans="1:20" s="31" customFormat="1" x14ac:dyDescent="0.25">
      <c r="A243" s="25" t="s">
        <v>25</v>
      </c>
      <c r="B243" s="42"/>
      <c r="C243" s="42"/>
      <c r="D243" s="25"/>
      <c r="E243" s="25"/>
      <c r="F243" s="42" t="e">
        <f t="shared" si="13"/>
        <v>#REF!</v>
      </c>
      <c r="G243" s="42" t="e">
        <f t="shared" si="13"/>
        <v>#REF!</v>
      </c>
      <c r="H243" s="43"/>
      <c r="K243" s="31" t="str">
        <f>"""GP"",""Ute Indian Tribe Membership Fund"",""aaa_contract_detail_sp"",""JRNENTRY"",""1580777"",""aaGLHdrID"",""1748516"",""aaGLDistID"",""15"",""aaGLAssignID"",""1"",""contract"",""3460 92 URHS FY2025"""</f>
        <v>"GP","Ute Indian Tribe Membership Fund","aaa_contract_detail_sp","JRNENTRY","1580777","aaGLHdrID","1748516","aaGLDistID","15","aaGLAssignID","1","contract","3460 92 URHS FY2025"</v>
      </c>
      <c r="L243" s="44">
        <v>45656</v>
      </c>
      <c r="M243" s="31">
        <v>1580777</v>
      </c>
      <c r="N243" s="31" t="str">
        <f>""</f>
        <v/>
      </c>
      <c r="O243" s="31" t="str">
        <f>""</f>
        <v/>
      </c>
      <c r="P243" s="31" t="str">
        <f>""</f>
        <v/>
      </c>
      <c r="Q243" s="45" t="str">
        <f>""</f>
        <v/>
      </c>
      <c r="R243" s="46">
        <v>165.99</v>
      </c>
      <c r="S243" s="46">
        <v>0</v>
      </c>
      <c r="T243" s="47">
        <f t="shared" si="14"/>
        <v>165.99</v>
      </c>
    </row>
    <row r="244" spans="1:20" s="31" customFormat="1" x14ac:dyDescent="0.25">
      <c r="A244" s="25" t="s">
        <v>25</v>
      </c>
      <c r="B244" s="42"/>
      <c r="C244" s="42"/>
      <c r="D244" s="25"/>
      <c r="E244" s="25"/>
      <c r="F244" s="42" t="e">
        <f t="shared" si="13"/>
        <v>#REF!</v>
      </c>
      <c r="G244" s="42" t="e">
        <f t="shared" si="13"/>
        <v>#REF!</v>
      </c>
      <c r="H244" s="43"/>
      <c r="K244" s="31" t="str">
        <f>"""GP"",""Ute Indian Tribe Membership Fund"",""aaa_contract_detail_sp"",""JRNENTRY"",""1580777"",""aaGLHdrID"",""1748516"",""aaGLDistID"",""16"",""aaGLAssignID"",""1"",""contract"",""3460 92 URHS FY2025"""</f>
        <v>"GP","Ute Indian Tribe Membership Fund","aaa_contract_detail_sp","JRNENTRY","1580777","aaGLHdrID","1748516","aaGLDistID","16","aaGLAssignID","1","contract","3460 92 URHS FY2025"</v>
      </c>
      <c r="L244" s="44">
        <v>45656</v>
      </c>
      <c r="M244" s="31">
        <v>1580777</v>
      </c>
      <c r="N244" s="31" t="str">
        <f>""</f>
        <v/>
      </c>
      <c r="O244" s="31" t="str">
        <f>""</f>
        <v/>
      </c>
      <c r="P244" s="31" t="str">
        <f>""</f>
        <v/>
      </c>
      <c r="Q244" s="45" t="str">
        <f>""</f>
        <v/>
      </c>
      <c r="R244" s="46">
        <v>38.82</v>
      </c>
      <c r="S244" s="46">
        <v>0</v>
      </c>
      <c r="T244" s="47">
        <f t="shared" si="14"/>
        <v>38.82</v>
      </c>
    </row>
    <row r="245" spans="1:20" s="31" customFormat="1" x14ac:dyDescent="0.25">
      <c r="A245" s="25" t="s">
        <v>25</v>
      </c>
      <c r="B245" s="42"/>
      <c r="C245" s="42"/>
      <c r="D245" s="25"/>
      <c r="E245" s="25"/>
      <c r="F245" s="42" t="e">
        <f t="shared" si="13"/>
        <v>#REF!</v>
      </c>
      <c r="G245" s="42" t="e">
        <f t="shared" si="13"/>
        <v>#REF!</v>
      </c>
      <c r="H245" s="43"/>
      <c r="K245" s="31" t="str">
        <f>"""GP"",""Ute Indian Tribe Membership Fund"",""aaa_contract_detail_sp"",""JRNENTRY"",""1580778"",""aaGLHdrID"",""1748517"",""aaGLDistID"",""15"",""aaGLAssignID"",""1"",""contract"",""3460 92 URHS FY2025"""</f>
        <v>"GP","Ute Indian Tribe Membership Fund","aaa_contract_detail_sp","JRNENTRY","1580778","aaGLHdrID","1748517","aaGLDistID","15","aaGLAssignID","1","contract","3460 92 URHS FY2025"</v>
      </c>
      <c r="L245" s="44">
        <v>45656</v>
      </c>
      <c r="M245" s="31">
        <v>1580778</v>
      </c>
      <c r="N245" s="31" t="str">
        <f>""</f>
        <v/>
      </c>
      <c r="O245" s="31" t="str">
        <f>""</f>
        <v/>
      </c>
      <c r="P245" s="31" t="str">
        <f>""</f>
        <v/>
      </c>
      <c r="Q245" s="45" t="str">
        <f>""</f>
        <v/>
      </c>
      <c r="R245" s="46">
        <v>188.94</v>
      </c>
      <c r="S245" s="46">
        <v>0</v>
      </c>
      <c r="T245" s="47">
        <f t="shared" si="14"/>
        <v>188.94</v>
      </c>
    </row>
    <row r="246" spans="1:20" s="31" customFormat="1" x14ac:dyDescent="0.25">
      <c r="A246" s="25" t="s">
        <v>25</v>
      </c>
      <c r="B246" s="42"/>
      <c r="C246" s="42"/>
      <c r="D246" s="25"/>
      <c r="E246" s="25"/>
      <c r="F246" s="42" t="e">
        <f t="shared" si="13"/>
        <v>#REF!</v>
      </c>
      <c r="G246" s="42" t="e">
        <f t="shared" si="13"/>
        <v>#REF!</v>
      </c>
      <c r="H246" s="43"/>
      <c r="K246" s="31" t="str">
        <f>"""GP"",""Ute Indian Tribe Membership Fund"",""aaa_contract_detail_sp"",""JRNENTRY"",""1580778"",""aaGLHdrID"",""1748517"",""aaGLDistID"",""16"",""aaGLAssignID"",""1"",""contract"",""3460 92 URHS FY2025"""</f>
        <v>"GP","Ute Indian Tribe Membership Fund","aaa_contract_detail_sp","JRNENTRY","1580778","aaGLHdrID","1748517","aaGLDistID","16","aaGLAssignID","1","contract","3460 92 URHS FY2025"</v>
      </c>
      <c r="L246" s="44">
        <v>45656</v>
      </c>
      <c r="M246" s="31">
        <v>1580778</v>
      </c>
      <c r="N246" s="31" t="str">
        <f>""</f>
        <v/>
      </c>
      <c r="O246" s="31" t="str">
        <f>""</f>
        <v/>
      </c>
      <c r="P246" s="31" t="str">
        <f>""</f>
        <v/>
      </c>
      <c r="Q246" s="45" t="str">
        <f>""</f>
        <v/>
      </c>
      <c r="R246" s="46">
        <v>44.19</v>
      </c>
      <c r="S246" s="46">
        <v>0</v>
      </c>
      <c r="T246" s="47">
        <f t="shared" si="14"/>
        <v>44.19</v>
      </c>
    </row>
    <row r="247" spans="1:20" s="31" customFormat="1" x14ac:dyDescent="0.25">
      <c r="A247" s="25" t="s">
        <v>25</v>
      </c>
      <c r="B247" s="42"/>
      <c r="C247" s="42"/>
      <c r="D247" s="25"/>
      <c r="E247" s="25"/>
      <c r="F247" s="42" t="e">
        <f t="shared" si="13"/>
        <v>#REF!</v>
      </c>
      <c r="G247" s="42" t="e">
        <f t="shared" si="13"/>
        <v>#REF!</v>
      </c>
      <c r="H247" s="43"/>
      <c r="K247" s="31" t="str">
        <f>"""GP"",""Ute Indian Tribe Membership Fund"",""aaa_contract_detail_sp"",""JRNENTRY"",""1580866"",""aaGLHdrID"",""1748605"",""aaGLDistID"",""14"",""aaGLAssignID"",""1"",""contract"",""3460 92 URHS FY2025"""</f>
        <v>"GP","Ute Indian Tribe Membership Fund","aaa_contract_detail_sp","JRNENTRY","1580866","aaGLHdrID","1748605","aaGLDistID","14","aaGLAssignID","1","contract","3460 92 URHS FY2025"</v>
      </c>
      <c r="L247" s="44">
        <v>45656</v>
      </c>
      <c r="M247" s="31">
        <v>1580866</v>
      </c>
      <c r="N247" s="31" t="str">
        <f>""</f>
        <v/>
      </c>
      <c r="O247" s="31" t="str">
        <f>""</f>
        <v/>
      </c>
      <c r="P247" s="31" t="str">
        <f>""</f>
        <v/>
      </c>
      <c r="Q247" s="45" t="str">
        <f>""</f>
        <v/>
      </c>
      <c r="R247" s="46">
        <v>161.78</v>
      </c>
      <c r="S247" s="46">
        <v>0</v>
      </c>
      <c r="T247" s="47">
        <f t="shared" si="14"/>
        <v>161.78</v>
      </c>
    </row>
    <row r="248" spans="1:20" s="31" customFormat="1" x14ac:dyDescent="0.25">
      <c r="A248" s="25" t="s">
        <v>25</v>
      </c>
      <c r="B248" s="42"/>
      <c r="C248" s="42"/>
      <c r="D248" s="25"/>
      <c r="E248" s="25"/>
      <c r="F248" s="42" t="e">
        <f t="shared" si="13"/>
        <v>#REF!</v>
      </c>
      <c r="G248" s="42" t="e">
        <f t="shared" si="13"/>
        <v>#REF!</v>
      </c>
      <c r="H248" s="43"/>
      <c r="K248" s="31" t="str">
        <f>"""GP"",""Ute Indian Tribe Membership Fund"",""aaa_contract_detail_sp"",""JRNENTRY"",""1580866"",""aaGLHdrID"",""1748605"",""aaGLDistID"",""15"",""aaGLAssignID"",""1"",""contract"",""3460 92 URHS FY2025"""</f>
        <v>"GP","Ute Indian Tribe Membership Fund","aaa_contract_detail_sp","JRNENTRY","1580866","aaGLHdrID","1748605","aaGLDistID","15","aaGLAssignID","1","contract","3460 92 URHS FY2025"</v>
      </c>
      <c r="L248" s="44">
        <v>45656</v>
      </c>
      <c r="M248" s="31">
        <v>1580866</v>
      </c>
      <c r="N248" s="31" t="str">
        <f>""</f>
        <v/>
      </c>
      <c r="O248" s="31" t="str">
        <f>""</f>
        <v/>
      </c>
      <c r="P248" s="31" t="str">
        <f>""</f>
        <v/>
      </c>
      <c r="Q248" s="45" t="str">
        <f>""</f>
        <v/>
      </c>
      <c r="R248" s="46">
        <v>37.83</v>
      </c>
      <c r="S248" s="46">
        <v>0</v>
      </c>
      <c r="T248" s="47">
        <f t="shared" si="14"/>
        <v>37.83</v>
      </c>
    </row>
    <row r="249" spans="1:20" s="31" customFormat="1" x14ac:dyDescent="0.25">
      <c r="A249" s="25" t="s">
        <v>25</v>
      </c>
      <c r="B249" s="42"/>
      <c r="C249" s="42"/>
      <c r="D249" s="25"/>
      <c r="E249" s="25"/>
      <c r="F249" s="42" t="e">
        <f t="shared" si="13"/>
        <v>#REF!</v>
      </c>
      <c r="G249" s="42" t="e">
        <f t="shared" si="13"/>
        <v>#REF!</v>
      </c>
      <c r="H249" s="43"/>
      <c r="K249" s="31" t="str">
        <f>"""GP"",""Ute Indian Tribe Membership Fund"",""aaa_contract_detail_sp"",""JRNENTRY"",""1580943"",""aaGLHdrID"",""1748682"",""aaGLDistID"",""14"",""aaGLAssignID"",""1"",""contract"",""3460 92 URHS FY2025"""</f>
        <v>"GP","Ute Indian Tribe Membership Fund","aaa_contract_detail_sp","JRNENTRY","1580943","aaGLHdrID","1748682","aaGLDistID","14","aaGLAssignID","1","contract","3460 92 URHS FY2025"</v>
      </c>
      <c r="L249" s="44">
        <v>45656</v>
      </c>
      <c r="M249" s="31">
        <v>1580943</v>
      </c>
      <c r="N249" s="31" t="str">
        <f>""</f>
        <v/>
      </c>
      <c r="O249" s="31" t="str">
        <f>""</f>
        <v/>
      </c>
      <c r="P249" s="31" t="str">
        <f>""</f>
        <v/>
      </c>
      <c r="Q249" s="45" t="str">
        <f>""</f>
        <v/>
      </c>
      <c r="R249" s="46">
        <v>86.38</v>
      </c>
      <c r="S249" s="46">
        <v>0</v>
      </c>
      <c r="T249" s="47">
        <f t="shared" si="14"/>
        <v>86.38</v>
      </c>
    </row>
    <row r="250" spans="1:20" s="31" customFormat="1" x14ac:dyDescent="0.25">
      <c r="A250" s="25" t="s">
        <v>25</v>
      </c>
      <c r="B250" s="42"/>
      <c r="C250" s="42"/>
      <c r="D250" s="25"/>
      <c r="E250" s="25"/>
      <c r="F250" s="42" t="e">
        <f t="shared" si="13"/>
        <v>#REF!</v>
      </c>
      <c r="G250" s="42" t="e">
        <f t="shared" si="13"/>
        <v>#REF!</v>
      </c>
      <c r="H250" s="43"/>
      <c r="K250" s="31" t="str">
        <f>"""GP"",""Ute Indian Tribe Membership Fund"",""aaa_contract_detail_sp"",""JRNENTRY"",""1580943"",""aaGLHdrID"",""1748682"",""aaGLDistID"",""15"",""aaGLAssignID"",""1"",""contract"",""3460 92 URHS FY2025"""</f>
        <v>"GP","Ute Indian Tribe Membership Fund","aaa_contract_detail_sp","JRNENTRY","1580943","aaGLHdrID","1748682","aaGLDistID","15","aaGLAssignID","1","contract","3460 92 URHS FY2025"</v>
      </c>
      <c r="L250" s="44">
        <v>45656</v>
      </c>
      <c r="M250" s="31">
        <v>1580943</v>
      </c>
      <c r="N250" s="31" t="str">
        <f>""</f>
        <v/>
      </c>
      <c r="O250" s="31" t="str">
        <f>""</f>
        <v/>
      </c>
      <c r="P250" s="31" t="str">
        <f>""</f>
        <v/>
      </c>
      <c r="Q250" s="45" t="str">
        <f>""</f>
        <v/>
      </c>
      <c r="R250" s="46">
        <v>20.2</v>
      </c>
      <c r="S250" s="46">
        <v>0</v>
      </c>
      <c r="T250" s="47">
        <f t="shared" si="14"/>
        <v>20.2</v>
      </c>
    </row>
    <row r="251" spans="1:20" s="31" customFormat="1" x14ac:dyDescent="0.25">
      <c r="A251" s="25" t="s">
        <v>25</v>
      </c>
      <c r="B251" s="42"/>
      <c r="C251" s="42"/>
      <c r="D251" s="25"/>
      <c r="E251" s="25"/>
      <c r="F251" s="42" t="e">
        <f t="shared" si="13"/>
        <v>#REF!</v>
      </c>
      <c r="G251" s="42" t="e">
        <f t="shared" si="13"/>
        <v>#REF!</v>
      </c>
      <c r="H251" s="43"/>
      <c r="K251" s="31" t="str">
        <f>"""GP"",""Ute Indian Tribe Membership Fund"",""aaa_contract_detail_sp"",""JRNENTRY"",""1580947"",""aaGLHdrID"",""1748686"",""aaGLDistID"",""17"",""aaGLAssignID"",""1"",""contract"",""3460 92 URHS FY2025"""</f>
        <v>"GP","Ute Indian Tribe Membership Fund","aaa_contract_detail_sp","JRNENTRY","1580947","aaGLHdrID","1748686","aaGLDistID","17","aaGLAssignID","1","contract","3460 92 URHS FY2025"</v>
      </c>
      <c r="L251" s="44">
        <v>45656</v>
      </c>
      <c r="M251" s="31">
        <v>1580947</v>
      </c>
      <c r="N251" s="31" t="str">
        <f>""</f>
        <v/>
      </c>
      <c r="O251" s="31" t="str">
        <f>""</f>
        <v/>
      </c>
      <c r="P251" s="31" t="str">
        <f>""</f>
        <v/>
      </c>
      <c r="Q251" s="45" t="str">
        <f>""</f>
        <v/>
      </c>
      <c r="R251" s="46">
        <v>100.65</v>
      </c>
      <c r="S251" s="46">
        <v>0</v>
      </c>
      <c r="T251" s="47">
        <f t="shared" si="14"/>
        <v>100.65</v>
      </c>
    </row>
    <row r="252" spans="1:20" s="31" customFormat="1" x14ac:dyDescent="0.25">
      <c r="A252" s="25" t="s">
        <v>25</v>
      </c>
      <c r="B252" s="42"/>
      <c r="C252" s="42"/>
      <c r="D252" s="25"/>
      <c r="E252" s="25"/>
      <c r="F252" s="42" t="e">
        <f t="shared" si="13"/>
        <v>#REF!</v>
      </c>
      <c r="G252" s="42" t="e">
        <f t="shared" si="13"/>
        <v>#REF!</v>
      </c>
      <c r="H252" s="43"/>
      <c r="K252" s="31" t="str">
        <f>"""GP"",""Ute Indian Tribe Membership Fund"",""aaa_contract_detail_sp"",""JRNENTRY"",""1580947"",""aaGLHdrID"",""1748686"",""aaGLDistID"",""18"",""aaGLAssignID"",""1"",""contract"",""3460 92 URHS FY2025"""</f>
        <v>"GP","Ute Indian Tribe Membership Fund","aaa_contract_detail_sp","JRNENTRY","1580947","aaGLHdrID","1748686","aaGLDistID","18","aaGLAssignID","1","contract","3460 92 URHS FY2025"</v>
      </c>
      <c r="L252" s="44">
        <v>45656</v>
      </c>
      <c r="M252" s="31">
        <v>1580947</v>
      </c>
      <c r="N252" s="31" t="str">
        <f>""</f>
        <v/>
      </c>
      <c r="O252" s="31" t="str">
        <f>""</f>
        <v/>
      </c>
      <c r="P252" s="31" t="str">
        <f>""</f>
        <v/>
      </c>
      <c r="Q252" s="45" t="str">
        <f>""</f>
        <v/>
      </c>
      <c r="R252" s="46">
        <v>23.54</v>
      </c>
      <c r="S252" s="46">
        <v>0</v>
      </c>
      <c r="T252" s="47">
        <f t="shared" si="14"/>
        <v>23.54</v>
      </c>
    </row>
    <row r="253" spans="1:20" s="31" customFormat="1" x14ac:dyDescent="0.25">
      <c r="A253" s="25" t="s">
        <v>25</v>
      </c>
      <c r="B253" s="42"/>
      <c r="C253" s="42"/>
      <c r="D253" s="25"/>
      <c r="E253" s="25"/>
      <c r="F253" s="42" t="e">
        <f t="shared" si="13"/>
        <v>#REF!</v>
      </c>
      <c r="G253" s="42" t="e">
        <f t="shared" si="13"/>
        <v>#REF!</v>
      </c>
      <c r="H253" s="43"/>
      <c r="K253" s="31" t="str">
        <f>"""GP"",""Ute Indian Tribe Membership Fund"",""aaa_contract_detail_sp"",""JRNENTRY"",""1581195"",""aaGLHdrID"",""1749142"",""aaGLDistID"",""18"",""aaGLAssignID"",""1"",""contract"",""3460 92 URHS FY2025"""</f>
        <v>"GP","Ute Indian Tribe Membership Fund","aaa_contract_detail_sp","JRNENTRY","1581195","aaGLHdrID","1749142","aaGLDistID","18","aaGLAssignID","1","contract","3460 92 URHS FY2025"</v>
      </c>
      <c r="L253" s="44">
        <v>45657</v>
      </c>
      <c r="M253" s="31">
        <v>1581195</v>
      </c>
      <c r="N253" s="31" t="str">
        <f>""</f>
        <v/>
      </c>
      <c r="O253" s="31" t="str">
        <f>""</f>
        <v/>
      </c>
      <c r="P253" s="31" t="str">
        <f>""</f>
        <v/>
      </c>
      <c r="Q253" s="45" t="str">
        <f>""</f>
        <v/>
      </c>
      <c r="R253" s="46">
        <v>29.29</v>
      </c>
      <c r="S253" s="46">
        <v>0</v>
      </c>
      <c r="T253" s="47">
        <f t="shared" si="14"/>
        <v>29.29</v>
      </c>
    </row>
    <row r="254" spans="1:20" s="31" customFormat="1" x14ac:dyDescent="0.25">
      <c r="A254" s="25" t="s">
        <v>25</v>
      </c>
      <c r="B254" s="42"/>
      <c r="C254" s="42"/>
      <c r="D254" s="25"/>
      <c r="E254" s="25"/>
      <c r="F254" s="42" t="e">
        <f t="shared" si="13"/>
        <v>#REF!</v>
      </c>
      <c r="G254" s="42" t="e">
        <f t="shared" si="13"/>
        <v>#REF!</v>
      </c>
      <c r="H254" s="43"/>
      <c r="K254" s="31" t="str">
        <f>"""GP"",""Ute Indian Tribe Membership Fund"",""aaa_contract_detail_sp"",""JRNENTRY"",""1581195"",""aaGLHdrID"",""1749142"",""aaGLDistID"",""434"",""aaGLAssignID"",""1"",""contract"",""3460 92 URHS FY2025"""</f>
        <v>"GP","Ute Indian Tribe Membership Fund","aaa_contract_detail_sp","JRNENTRY","1581195","aaGLHdrID","1749142","aaGLDistID","434","aaGLAssignID","1","contract","3460 92 URHS FY2025"</v>
      </c>
      <c r="L254" s="44">
        <v>45657</v>
      </c>
      <c r="M254" s="31">
        <v>1581195</v>
      </c>
      <c r="N254" s="31" t="str">
        <f>""</f>
        <v/>
      </c>
      <c r="O254" s="31" t="str">
        <f>""</f>
        <v/>
      </c>
      <c r="P254" s="31" t="str">
        <f>""</f>
        <v/>
      </c>
      <c r="Q254" s="45" t="str">
        <f>""</f>
        <v/>
      </c>
      <c r="R254" s="46">
        <v>39.29</v>
      </c>
      <c r="S254" s="46">
        <v>0</v>
      </c>
      <c r="T254" s="47">
        <f t="shared" si="14"/>
        <v>39.29</v>
      </c>
    </row>
    <row r="255" spans="1:20" s="31" customFormat="1" x14ac:dyDescent="0.25">
      <c r="A255" s="25" t="s">
        <v>25</v>
      </c>
      <c r="B255" s="42"/>
      <c r="C255" s="42"/>
      <c r="D255" s="25"/>
      <c r="E255" s="25"/>
      <c r="F255" s="42" t="e">
        <f t="shared" si="13"/>
        <v>#REF!</v>
      </c>
      <c r="G255" s="42" t="e">
        <f t="shared" si="13"/>
        <v>#REF!</v>
      </c>
      <c r="H255" s="43"/>
      <c r="K255" s="31" t="str">
        <f>"""GP"",""Ute Indian Tribe Membership Fund"",""aaa_contract_detail_sp"",""JRNENTRY"",""1581195"",""aaGLHdrID"",""1749142"",""aaGLDistID"",""435"",""aaGLAssignID"",""1"",""contract"",""3460 92 URHS FY2025"""</f>
        <v>"GP","Ute Indian Tribe Membership Fund","aaa_contract_detail_sp","JRNENTRY","1581195","aaGLHdrID","1749142","aaGLDistID","435","aaGLAssignID","1","contract","3460 92 URHS FY2025"</v>
      </c>
      <c r="L255" s="44">
        <v>45657</v>
      </c>
      <c r="M255" s="31">
        <v>1581195</v>
      </c>
      <c r="N255" s="31" t="str">
        <f>""</f>
        <v/>
      </c>
      <c r="O255" s="31" t="str">
        <f>""</f>
        <v/>
      </c>
      <c r="P255" s="31" t="str">
        <f>""</f>
        <v/>
      </c>
      <c r="Q255" s="45" t="str">
        <f>""</f>
        <v/>
      </c>
      <c r="R255" s="46">
        <v>30.47</v>
      </c>
      <c r="S255" s="46">
        <v>0</v>
      </c>
      <c r="T255" s="47">
        <f t="shared" si="14"/>
        <v>30.47</v>
      </c>
    </row>
    <row r="256" spans="1:20" s="31" customFormat="1" x14ac:dyDescent="0.25">
      <c r="A256" s="25" t="s">
        <v>25</v>
      </c>
      <c r="B256" s="42"/>
      <c r="C256" s="42"/>
      <c r="D256" s="25"/>
      <c r="E256" s="25"/>
      <c r="F256" s="42" t="e">
        <f t="shared" si="13"/>
        <v>#REF!</v>
      </c>
      <c r="G256" s="42" t="e">
        <f t="shared" si="13"/>
        <v>#REF!</v>
      </c>
      <c r="H256" s="43"/>
      <c r="K256" s="31" t="str">
        <f>"""GP"",""Ute Indian Tribe Membership Fund"",""aaa_contract_detail_sp"",""JRNENTRY"",""1581195"",""aaGLHdrID"",""1749142"",""aaGLDistID"",""436"",""aaGLAssignID"",""1"",""contract"",""3460 92 URHS FY2025"""</f>
        <v>"GP","Ute Indian Tribe Membership Fund","aaa_contract_detail_sp","JRNENTRY","1581195","aaGLHdrID","1749142","aaGLDistID","436","aaGLAssignID","1","contract","3460 92 URHS FY2025"</v>
      </c>
      <c r="L256" s="44">
        <v>45657</v>
      </c>
      <c r="M256" s="31">
        <v>1581195</v>
      </c>
      <c r="N256" s="31" t="str">
        <f>""</f>
        <v/>
      </c>
      <c r="O256" s="31" t="str">
        <f>""</f>
        <v/>
      </c>
      <c r="P256" s="31" t="str">
        <f>""</f>
        <v/>
      </c>
      <c r="Q256" s="45" t="str">
        <f>""</f>
        <v/>
      </c>
      <c r="R256" s="46">
        <v>66.7</v>
      </c>
      <c r="S256" s="46">
        <v>0</v>
      </c>
      <c r="T256" s="47">
        <f t="shared" si="14"/>
        <v>66.7</v>
      </c>
    </row>
    <row r="257" spans="1:20" s="31" customFormat="1" x14ac:dyDescent="0.25">
      <c r="A257" s="25" t="s">
        <v>25</v>
      </c>
      <c r="B257" s="42"/>
      <c r="C257" s="42"/>
      <c r="D257" s="25"/>
      <c r="E257" s="25"/>
      <c r="F257" s="42" t="e">
        <f t="shared" si="13"/>
        <v>#REF!</v>
      </c>
      <c r="G257" s="42" t="e">
        <f t="shared" si="13"/>
        <v>#REF!</v>
      </c>
      <c r="H257" s="43"/>
      <c r="K257" s="31" t="str">
        <f>"""GP"",""Ute Indian Tribe Membership Fund"",""aaa_contract_detail_sp"",""JRNENTRY"",""1581195"",""aaGLHdrID"",""1749142"",""aaGLDistID"",""437"",""aaGLAssignID"",""1"",""contract"",""3460 92 URHS FY2025"""</f>
        <v>"GP","Ute Indian Tribe Membership Fund","aaa_contract_detail_sp","JRNENTRY","1581195","aaGLHdrID","1749142","aaGLDistID","437","aaGLAssignID","1","contract","3460 92 URHS FY2025"</v>
      </c>
      <c r="L257" s="44">
        <v>45657</v>
      </c>
      <c r="M257" s="31">
        <v>1581195</v>
      </c>
      <c r="N257" s="31" t="str">
        <f>""</f>
        <v/>
      </c>
      <c r="O257" s="31" t="str">
        <f>""</f>
        <v/>
      </c>
      <c r="P257" s="31" t="str">
        <f>""</f>
        <v/>
      </c>
      <c r="Q257" s="45" t="str">
        <f>""</f>
        <v/>
      </c>
      <c r="R257" s="46">
        <v>27.55</v>
      </c>
      <c r="S257" s="46">
        <v>0</v>
      </c>
      <c r="T257" s="47">
        <f t="shared" si="14"/>
        <v>27.55</v>
      </c>
    </row>
    <row r="258" spans="1:20" s="31" customFormat="1" x14ac:dyDescent="0.25">
      <c r="A258" s="25" t="s">
        <v>25</v>
      </c>
      <c r="B258" s="42"/>
      <c r="C258" s="42"/>
      <c r="D258" s="25"/>
      <c r="E258" s="25"/>
      <c r="F258" s="42" t="e">
        <f t="shared" si="13"/>
        <v>#REF!</v>
      </c>
      <c r="G258" s="42" t="e">
        <f t="shared" si="13"/>
        <v>#REF!</v>
      </c>
      <c r="H258" s="43"/>
      <c r="K258" s="31" t="str">
        <f>"""GP"",""Ute Indian Tribe Membership Fund"",""aaa_contract_detail_sp"",""JRNENTRY"",""1581195"",""aaGLHdrID"",""1749142"",""aaGLDistID"",""438"",""aaGLAssignID"",""1"",""contract"",""3460 92 URHS FY2025"""</f>
        <v>"GP","Ute Indian Tribe Membership Fund","aaa_contract_detail_sp","JRNENTRY","1581195","aaGLHdrID","1749142","aaGLDistID","438","aaGLAssignID","1","contract","3460 92 URHS FY2025"</v>
      </c>
      <c r="L258" s="44">
        <v>45657</v>
      </c>
      <c r="M258" s="31">
        <v>1581195</v>
      </c>
      <c r="N258" s="31" t="str">
        <f>""</f>
        <v/>
      </c>
      <c r="O258" s="31" t="str">
        <f>""</f>
        <v/>
      </c>
      <c r="P258" s="31" t="str">
        <f>""</f>
        <v/>
      </c>
      <c r="Q258" s="45" t="str">
        <f>""</f>
        <v/>
      </c>
      <c r="R258" s="46">
        <v>31.66</v>
      </c>
      <c r="S258" s="46">
        <v>0</v>
      </c>
      <c r="T258" s="47">
        <f t="shared" si="14"/>
        <v>31.66</v>
      </c>
    </row>
    <row r="259" spans="1:20" s="31" customFormat="1" x14ac:dyDescent="0.25">
      <c r="A259" s="25" t="s">
        <v>25</v>
      </c>
      <c r="B259" s="42"/>
      <c r="C259" s="42"/>
      <c r="D259" s="25"/>
      <c r="E259" s="25"/>
      <c r="F259" s="42" t="e">
        <f t="shared" si="13"/>
        <v>#REF!</v>
      </c>
      <c r="G259" s="42" t="e">
        <f t="shared" si="13"/>
        <v>#REF!</v>
      </c>
      <c r="H259" s="43"/>
      <c r="K259" s="31" t="str">
        <f>"""GP"",""Ute Indian Tribe Membership Fund"",""aaa_contract_detail_sp"",""JRNENTRY"",""1581195"",""aaGLHdrID"",""1749142"",""aaGLDistID"",""439"",""aaGLAssignID"",""1"",""contract"",""3460 92 URHS FY2025"""</f>
        <v>"GP","Ute Indian Tribe Membership Fund","aaa_contract_detail_sp","JRNENTRY","1581195","aaGLHdrID","1749142","aaGLDistID","439","aaGLAssignID","1","contract","3460 92 URHS FY2025"</v>
      </c>
      <c r="L259" s="44">
        <v>45657</v>
      </c>
      <c r="M259" s="31">
        <v>1581195</v>
      </c>
      <c r="N259" s="31" t="str">
        <f>""</f>
        <v/>
      </c>
      <c r="O259" s="31" t="str">
        <f>""</f>
        <v/>
      </c>
      <c r="P259" s="31" t="str">
        <f>""</f>
        <v/>
      </c>
      <c r="Q259" s="45" t="str">
        <f>""</f>
        <v/>
      </c>
      <c r="R259" s="46">
        <v>26.09</v>
      </c>
      <c r="S259" s="46">
        <v>0</v>
      </c>
      <c r="T259" s="47">
        <f t="shared" si="14"/>
        <v>26.09</v>
      </c>
    </row>
    <row r="260" spans="1:20" s="31" customFormat="1" x14ac:dyDescent="0.25">
      <c r="A260" s="25" t="s">
        <v>25</v>
      </c>
      <c r="B260" s="42"/>
      <c r="C260" s="42"/>
      <c r="D260" s="25"/>
      <c r="E260" s="25"/>
      <c r="F260" s="42" t="e">
        <f t="shared" si="13"/>
        <v>#REF!</v>
      </c>
      <c r="G260" s="42" t="e">
        <f t="shared" si="13"/>
        <v>#REF!</v>
      </c>
      <c r="H260" s="43"/>
      <c r="K260" s="31" t="str">
        <f>"""GP"",""Ute Indian Tribe Membership Fund"",""aaa_contract_detail_sp"",""JRNENTRY"",""1581195"",""aaGLHdrID"",""1749142"",""aaGLDistID"",""440"",""aaGLAssignID"",""1"",""contract"",""3460 92 URHS FY2025"""</f>
        <v>"GP","Ute Indian Tribe Membership Fund","aaa_contract_detail_sp","JRNENTRY","1581195","aaGLHdrID","1749142","aaGLDistID","440","aaGLAssignID","1","contract","3460 92 URHS FY2025"</v>
      </c>
      <c r="L260" s="44">
        <v>45657</v>
      </c>
      <c r="M260" s="31">
        <v>1581195</v>
      </c>
      <c r="N260" s="31" t="str">
        <f>""</f>
        <v/>
      </c>
      <c r="O260" s="31" t="str">
        <f>""</f>
        <v/>
      </c>
      <c r="P260" s="31" t="str">
        <f>""</f>
        <v/>
      </c>
      <c r="Q260" s="45" t="str">
        <f>""</f>
        <v/>
      </c>
      <c r="R260" s="46">
        <v>23.87</v>
      </c>
      <c r="S260" s="46">
        <v>0</v>
      </c>
      <c r="T260" s="47">
        <f t="shared" si="14"/>
        <v>23.87</v>
      </c>
    </row>
    <row r="261" spans="1:20" s="31" customFormat="1" ht="12.75" x14ac:dyDescent="0.2">
      <c r="A261" s="25" t="s">
        <v>25</v>
      </c>
      <c r="B261" s="42"/>
      <c r="C261" s="42"/>
      <c r="D261" s="25"/>
      <c r="E261" s="25"/>
      <c r="F261" s="42" t="e">
        <f>#REF!</f>
        <v>#REF!</v>
      </c>
      <c r="G261" s="42" t="e">
        <f>#REF!</f>
        <v>#REF!</v>
      </c>
      <c r="H261" s="43"/>
    </row>
    <row r="262" spans="1:20" s="31" customFormat="1" ht="12.75" x14ac:dyDescent="0.2">
      <c r="A262" s="25" t="s">
        <v>25</v>
      </c>
      <c r="B262" s="25"/>
      <c r="C262" s="25"/>
      <c r="D262" s="25"/>
      <c r="E262" s="25"/>
      <c r="F262" s="25"/>
      <c r="G262" s="25"/>
      <c r="H262" s="30"/>
      <c r="I262" s="54" t="str">
        <f>I127&amp;"   "&amp;J127&amp;"         Total:"</f>
        <v>5021-0-6110-3460   Fringe Benefits - Taxes         Total:</v>
      </c>
      <c r="J262" s="54"/>
      <c r="K262" s="54"/>
      <c r="L262" s="54"/>
      <c r="M262" s="54"/>
      <c r="N262" s="54"/>
      <c r="O262" s="54"/>
      <c r="P262" s="54"/>
      <c r="Q262" s="54"/>
      <c r="R262" s="54"/>
      <c r="S262" s="54"/>
      <c r="T262" s="48">
        <f>SUBTOTAL(9,T128:T261)</f>
        <v>11500.360000000004</v>
      </c>
    </row>
    <row r="263" spans="1:20" s="31" customFormat="1" ht="12.75" x14ac:dyDescent="0.2">
      <c r="A263" s="25" t="s">
        <v>25</v>
      </c>
      <c r="B263" s="25"/>
      <c r="C263" s="25"/>
      <c r="D263" s="25"/>
      <c r="E263" s="25"/>
      <c r="F263" s="25"/>
      <c r="G263" s="25"/>
      <c r="H263" s="30"/>
    </row>
    <row r="264" spans="1:20" s="31" customFormat="1" ht="12.75" x14ac:dyDescent="0.2">
      <c r="A264" s="25" t="s">
        <v>25</v>
      </c>
      <c r="B264" s="25"/>
      <c r="C264" s="25"/>
      <c r="D264" s="25"/>
      <c r="E264" s="25"/>
      <c r="F264" s="25"/>
      <c r="G264" s="25"/>
      <c r="H264" s="30"/>
    </row>
    <row r="265" spans="1:20" s="31" customFormat="1" ht="12.75" x14ac:dyDescent="0.2">
      <c r="A265" s="25" t="s">
        <v>25</v>
      </c>
      <c r="B265" s="25"/>
      <c r="C265" s="25"/>
      <c r="D265" s="25"/>
      <c r="E265" s="25"/>
      <c r="F265" s="25" t="str">
        <f>"5021-0-6115-3460"</f>
        <v>5021-0-6115-3460</v>
      </c>
      <c r="G265" s="25" t="str">
        <f>"5021-0-6115-3460"</f>
        <v>5021-0-6115-3460</v>
      </c>
      <c r="H265" s="30"/>
      <c r="I265" s="40" t="str">
        <f>G265</f>
        <v>5021-0-6115-3460</v>
      </c>
      <c r="J265" s="40" t="str">
        <f>"Fringe Benefits - Health and Life Insurance"</f>
        <v>Fringe Benefits - Health and Life Insurance</v>
      </c>
      <c r="Q265" s="40"/>
      <c r="R265" s="41"/>
    </row>
    <row r="266" spans="1:20" s="31" customFormat="1" x14ac:dyDescent="0.25">
      <c r="A266" s="25" t="s">
        <v>25</v>
      </c>
      <c r="B266" s="42"/>
      <c r="C266" s="42"/>
      <c r="D266" s="25"/>
      <c r="E266" s="25"/>
      <c r="F266" s="42" t="e">
        <f>#REF!</f>
        <v>#REF!</v>
      </c>
      <c r="G266" s="42" t="e">
        <f>#REF!</f>
        <v>#REF!</v>
      </c>
      <c r="H266" s="43"/>
      <c r="K266" s="31" t="str">
        <f>"""GP"",""Ute Indian Tribe Membership Fund"",""aaa_contract_detail_sp"",""JRNENTRY"",""1570884"",""aaGLHdrID"",""1739017"",""aaGLDistID"",""19"",""aaGLAssignID"",""1"",""contract"",""3460 92 URHS FY2025"""</f>
        <v>"GP","Ute Indian Tribe Membership Fund","aaa_contract_detail_sp","JRNENTRY","1570884","aaGLHdrID","1739017","aaGLDistID","19","aaGLAssignID","1","contract","3460 92 URHS FY2025"</v>
      </c>
      <c r="L266" s="44">
        <v>45603</v>
      </c>
      <c r="M266" s="31">
        <v>1570884</v>
      </c>
      <c r="N266" s="31" t="str">
        <f>""</f>
        <v/>
      </c>
      <c r="O266" s="31" t="str">
        <f>""</f>
        <v/>
      </c>
      <c r="P266" s="31" t="str">
        <f>""</f>
        <v/>
      </c>
      <c r="Q266" s="45" t="str">
        <f>""</f>
        <v/>
      </c>
      <c r="R266" s="46">
        <v>700.47</v>
      </c>
      <c r="S266" s="46">
        <v>0</v>
      </c>
      <c r="T266" s="47">
        <f t="shared" ref="T266:T300" si="15">SUM(R266:S266)</f>
        <v>700.47</v>
      </c>
    </row>
    <row r="267" spans="1:20" s="31" customFormat="1" x14ac:dyDescent="0.25">
      <c r="A267" s="25" t="s">
        <v>25</v>
      </c>
      <c r="B267" s="42"/>
      <c r="C267" s="42"/>
      <c r="D267" s="25"/>
      <c r="E267" s="25"/>
      <c r="F267" s="42" t="e">
        <f t="shared" ref="F267:G278" si="16">F266</f>
        <v>#REF!</v>
      </c>
      <c r="G267" s="42" t="e">
        <f t="shared" si="16"/>
        <v>#REF!</v>
      </c>
      <c r="H267" s="43"/>
      <c r="K267" s="31" t="str">
        <f>"""GP"",""Ute Indian Tribe Membership Fund"",""aaa_contract_detail_sp"",""JRNENTRY"",""1570950"",""aaGLHdrID"",""1739083"",""aaGLDistID"",""19"",""aaGLAssignID"",""1"",""contract"",""3460 92 URHS FY2025"""</f>
        <v>"GP","Ute Indian Tribe Membership Fund","aaa_contract_detail_sp","JRNENTRY","1570950","aaGLHdrID","1739083","aaGLDistID","19","aaGLAssignID","1","contract","3460 92 URHS FY2025"</v>
      </c>
      <c r="L267" s="44">
        <v>45603</v>
      </c>
      <c r="M267" s="31">
        <v>1570950</v>
      </c>
      <c r="N267" s="31" t="str">
        <f>""</f>
        <v/>
      </c>
      <c r="O267" s="31" t="str">
        <f>""</f>
        <v/>
      </c>
      <c r="P267" s="31" t="str">
        <f>""</f>
        <v/>
      </c>
      <c r="Q267" s="45" t="str">
        <f>""</f>
        <v/>
      </c>
      <c r="R267" s="46">
        <v>936.31</v>
      </c>
      <c r="S267" s="46">
        <v>0</v>
      </c>
      <c r="T267" s="47">
        <f t="shared" si="15"/>
        <v>936.31</v>
      </c>
    </row>
    <row r="268" spans="1:20" s="31" customFormat="1" x14ac:dyDescent="0.25">
      <c r="A268" s="25" t="s">
        <v>25</v>
      </c>
      <c r="B268" s="42"/>
      <c r="C268" s="42"/>
      <c r="D268" s="25"/>
      <c r="E268" s="25"/>
      <c r="F268" s="42" t="e">
        <f t="shared" si="16"/>
        <v>#REF!</v>
      </c>
      <c r="G268" s="42" t="e">
        <f t="shared" si="16"/>
        <v>#REF!</v>
      </c>
      <c r="H268" s="43"/>
      <c r="K268" s="31" t="str">
        <f>"""GP"",""Ute Indian Tribe Membership Fund"",""aaa_contract_detail_sp"",""JRNENTRY"",""1571044"",""aaGLHdrID"",""1739177"",""aaGLDistID"",""19"",""aaGLAssignID"",""1"",""contract"",""3460 92 URHS FY2025"""</f>
        <v>"GP","Ute Indian Tribe Membership Fund","aaa_contract_detail_sp","JRNENTRY","1571044","aaGLHdrID","1739177","aaGLDistID","19","aaGLAssignID","1","contract","3460 92 URHS FY2025"</v>
      </c>
      <c r="L268" s="44">
        <v>45603</v>
      </c>
      <c r="M268" s="31">
        <v>1571044</v>
      </c>
      <c r="N268" s="31" t="str">
        <f>""</f>
        <v/>
      </c>
      <c r="O268" s="31" t="str">
        <f>""</f>
        <v/>
      </c>
      <c r="P268" s="31" t="str">
        <f>""</f>
        <v/>
      </c>
      <c r="Q268" s="45" t="str">
        <f>""</f>
        <v/>
      </c>
      <c r="R268" s="46">
        <v>700.47</v>
      </c>
      <c r="S268" s="46">
        <v>0</v>
      </c>
      <c r="T268" s="47">
        <f t="shared" si="15"/>
        <v>700.47</v>
      </c>
    </row>
    <row r="269" spans="1:20" s="31" customFormat="1" x14ac:dyDescent="0.25">
      <c r="A269" s="25" t="s">
        <v>25</v>
      </c>
      <c r="B269" s="42"/>
      <c r="C269" s="42"/>
      <c r="D269" s="25"/>
      <c r="E269" s="25"/>
      <c r="F269" s="42" t="e">
        <f t="shared" si="16"/>
        <v>#REF!</v>
      </c>
      <c r="G269" s="42" t="e">
        <f t="shared" si="16"/>
        <v>#REF!</v>
      </c>
      <c r="H269" s="43"/>
      <c r="K269" s="31" t="str">
        <f>"""GP"",""Ute Indian Tribe Membership Fund"",""aaa_contract_detail_sp"",""JRNENTRY"",""1571049"",""aaGLHdrID"",""1739182"",""aaGLDistID"",""21"",""aaGLAssignID"",""1"",""contract"",""3460 92 URHS FY2025"""</f>
        <v>"GP","Ute Indian Tribe Membership Fund","aaa_contract_detail_sp","JRNENTRY","1571049","aaGLHdrID","1739182","aaGLDistID","21","aaGLAssignID","1","contract","3460 92 URHS FY2025"</v>
      </c>
      <c r="L269" s="44">
        <v>45603</v>
      </c>
      <c r="M269" s="31">
        <v>1571049</v>
      </c>
      <c r="N269" s="31" t="str">
        <f>""</f>
        <v/>
      </c>
      <c r="O269" s="31" t="str">
        <f>""</f>
        <v/>
      </c>
      <c r="P269" s="31" t="str">
        <f>""</f>
        <v/>
      </c>
      <c r="Q269" s="45" t="str">
        <f>""</f>
        <v/>
      </c>
      <c r="R269" s="46">
        <v>936.31</v>
      </c>
      <c r="S269" s="46">
        <v>0</v>
      </c>
      <c r="T269" s="47">
        <f t="shared" si="15"/>
        <v>936.31</v>
      </c>
    </row>
    <row r="270" spans="1:20" s="31" customFormat="1" x14ac:dyDescent="0.25">
      <c r="A270" s="25" t="s">
        <v>25</v>
      </c>
      <c r="B270" s="42"/>
      <c r="C270" s="42"/>
      <c r="D270" s="25"/>
      <c r="E270" s="25"/>
      <c r="F270" s="42" t="e">
        <f t="shared" si="16"/>
        <v>#REF!</v>
      </c>
      <c r="G270" s="42" t="e">
        <f t="shared" si="16"/>
        <v>#REF!</v>
      </c>
      <c r="H270" s="43"/>
      <c r="K270" s="31" t="str">
        <f>"""GP"",""Ute Indian Tribe Membership Fund"",""aaa_contract_detail_sp"",""JRNENTRY"",""1571090"",""aaGLHdrID"",""1739223"",""aaGLDistID"",""18"",""aaGLAssignID"",""1"",""contract"",""3460 92 URHS FY2025"""</f>
        <v>"GP","Ute Indian Tribe Membership Fund","aaa_contract_detail_sp","JRNENTRY","1571090","aaGLHdrID","1739223","aaGLDistID","18","aaGLAssignID","1","contract","3460 92 URHS FY2025"</v>
      </c>
      <c r="L270" s="44">
        <v>45603</v>
      </c>
      <c r="M270" s="31">
        <v>1571090</v>
      </c>
      <c r="N270" s="31" t="str">
        <f>""</f>
        <v/>
      </c>
      <c r="O270" s="31" t="str">
        <f>""</f>
        <v/>
      </c>
      <c r="P270" s="31" t="str">
        <f>""</f>
        <v/>
      </c>
      <c r="Q270" s="45" t="str">
        <f>""</f>
        <v/>
      </c>
      <c r="R270" s="46">
        <v>700.47</v>
      </c>
      <c r="S270" s="46">
        <v>0</v>
      </c>
      <c r="T270" s="47">
        <f t="shared" si="15"/>
        <v>700.47</v>
      </c>
    </row>
    <row r="271" spans="1:20" s="31" customFormat="1" x14ac:dyDescent="0.25">
      <c r="A271" s="25" t="s">
        <v>25</v>
      </c>
      <c r="B271" s="42"/>
      <c r="C271" s="42"/>
      <c r="D271" s="25"/>
      <c r="E271" s="25"/>
      <c r="F271" s="42" t="e">
        <f t="shared" si="16"/>
        <v>#REF!</v>
      </c>
      <c r="G271" s="42" t="e">
        <f t="shared" si="16"/>
        <v>#REF!</v>
      </c>
      <c r="H271" s="43"/>
      <c r="K271" s="31" t="str">
        <f>"""GP"",""Ute Indian Tribe Membership Fund"",""aaa_contract_detail_sp"",""JRNENTRY"",""1571266"",""aaGLHdrID"",""1739399"",""aaGLDistID"",""16"",""aaGLAssignID"",""1"",""contract"",""3460 92 URHS FY2025"""</f>
        <v>"GP","Ute Indian Tribe Membership Fund","aaa_contract_detail_sp","JRNENTRY","1571266","aaGLHdrID","1739399","aaGLDistID","16","aaGLAssignID","1","contract","3460 92 URHS FY2025"</v>
      </c>
      <c r="L271" s="44">
        <v>45603</v>
      </c>
      <c r="M271" s="31">
        <v>1571266</v>
      </c>
      <c r="N271" s="31" t="str">
        <f>""</f>
        <v/>
      </c>
      <c r="O271" s="31" t="str">
        <f>""</f>
        <v/>
      </c>
      <c r="P271" s="31" t="str">
        <f>""</f>
        <v/>
      </c>
      <c r="Q271" s="45" t="str">
        <f>""</f>
        <v/>
      </c>
      <c r="R271" s="46">
        <v>936.31</v>
      </c>
      <c r="S271" s="46">
        <v>0</v>
      </c>
      <c r="T271" s="47">
        <f t="shared" si="15"/>
        <v>936.31</v>
      </c>
    </row>
    <row r="272" spans="1:20" s="31" customFormat="1" x14ac:dyDescent="0.25">
      <c r="A272" s="25" t="s">
        <v>25</v>
      </c>
      <c r="B272" s="42"/>
      <c r="C272" s="42"/>
      <c r="D272" s="25"/>
      <c r="E272" s="25"/>
      <c r="F272" s="42" t="e">
        <f t="shared" si="16"/>
        <v>#REF!</v>
      </c>
      <c r="G272" s="42" t="e">
        <f t="shared" si="16"/>
        <v>#REF!</v>
      </c>
      <c r="H272" s="43"/>
      <c r="K272" s="31" t="str">
        <f>"""GP"",""Ute Indian Tribe Membership Fund"",""aaa_contract_detail_sp"",""JRNENTRY"",""1571270"",""aaGLHdrID"",""1739403"",""aaGLDistID"",""19"",""aaGLAssignID"",""1"",""contract"",""3460 92 URHS FY2025"""</f>
        <v>"GP","Ute Indian Tribe Membership Fund","aaa_contract_detail_sp","JRNENTRY","1571270","aaGLHdrID","1739403","aaGLDistID","19","aaGLAssignID","1","contract","3460 92 URHS FY2025"</v>
      </c>
      <c r="L272" s="44">
        <v>45603</v>
      </c>
      <c r="M272" s="31">
        <v>1571270</v>
      </c>
      <c r="N272" s="31" t="str">
        <f>""</f>
        <v/>
      </c>
      <c r="O272" s="31" t="str">
        <f>""</f>
        <v/>
      </c>
      <c r="P272" s="31" t="str">
        <f>""</f>
        <v/>
      </c>
      <c r="Q272" s="45" t="str">
        <f>""</f>
        <v/>
      </c>
      <c r="R272" s="46">
        <v>936.31</v>
      </c>
      <c r="S272" s="46">
        <v>0</v>
      </c>
      <c r="T272" s="47">
        <f t="shared" si="15"/>
        <v>936.31</v>
      </c>
    </row>
    <row r="273" spans="1:20" s="31" customFormat="1" x14ac:dyDescent="0.25">
      <c r="A273" s="25" t="s">
        <v>25</v>
      </c>
      <c r="B273" s="42"/>
      <c r="C273" s="42"/>
      <c r="D273" s="25"/>
      <c r="E273" s="25"/>
      <c r="F273" s="42" t="e">
        <f t="shared" si="16"/>
        <v>#REF!</v>
      </c>
      <c r="G273" s="42" t="e">
        <f t="shared" si="16"/>
        <v>#REF!</v>
      </c>
      <c r="H273" s="43"/>
      <c r="K273" s="31" t="str">
        <f>"""GP"",""Ute Indian Tribe Membership Fund"",""aaa_contract_detail_sp"",""JRNENTRY"",""1574460"",""aaGLHdrID"",""1742186"",""aaGLDistID"",""18"",""aaGLAssignID"",""1"",""contract"",""3460 92 URHS FY2025"""</f>
        <v>"GP","Ute Indian Tribe Membership Fund","aaa_contract_detail_sp","JRNENTRY","1574460","aaGLHdrID","1742186","aaGLDistID","18","aaGLAssignID","1","contract","3460 92 URHS FY2025"</v>
      </c>
      <c r="L273" s="44">
        <v>45617</v>
      </c>
      <c r="M273" s="31">
        <v>1574460</v>
      </c>
      <c r="N273" s="31" t="str">
        <f>""</f>
        <v/>
      </c>
      <c r="O273" s="31" t="str">
        <f>""</f>
        <v/>
      </c>
      <c r="P273" s="31" t="str">
        <f>""</f>
        <v/>
      </c>
      <c r="Q273" s="45" t="str">
        <f>""</f>
        <v/>
      </c>
      <c r="R273" s="46">
        <v>700.47</v>
      </c>
      <c r="S273" s="46">
        <v>0</v>
      </c>
      <c r="T273" s="47">
        <f t="shared" si="15"/>
        <v>700.47</v>
      </c>
    </row>
    <row r="274" spans="1:20" s="31" customFormat="1" x14ac:dyDescent="0.25">
      <c r="A274" s="25" t="s">
        <v>25</v>
      </c>
      <c r="B274" s="42"/>
      <c r="C274" s="42"/>
      <c r="D274" s="25"/>
      <c r="E274" s="25"/>
      <c r="F274" s="42" t="e">
        <f t="shared" si="16"/>
        <v>#REF!</v>
      </c>
      <c r="G274" s="42" t="e">
        <f t="shared" si="16"/>
        <v>#REF!</v>
      </c>
      <c r="H274" s="43"/>
      <c r="K274" s="31" t="str">
        <f>"""GP"",""Ute Indian Tribe Membership Fund"",""aaa_contract_detail_sp"",""JRNENTRY"",""1574530"",""aaGLHdrID"",""1742256"",""aaGLDistID"",""20"",""aaGLAssignID"",""1"",""contract"",""3460 92 URHS FY2025"""</f>
        <v>"GP","Ute Indian Tribe Membership Fund","aaa_contract_detail_sp","JRNENTRY","1574530","aaGLHdrID","1742256","aaGLDistID","20","aaGLAssignID","1","contract","3460 92 URHS FY2025"</v>
      </c>
      <c r="L274" s="44">
        <v>45617</v>
      </c>
      <c r="M274" s="31">
        <v>1574530</v>
      </c>
      <c r="N274" s="31" t="str">
        <f>""</f>
        <v/>
      </c>
      <c r="O274" s="31" t="str">
        <f>""</f>
        <v/>
      </c>
      <c r="P274" s="31" t="str">
        <f>""</f>
        <v/>
      </c>
      <c r="Q274" s="45" t="str">
        <f>""</f>
        <v/>
      </c>
      <c r="R274" s="46">
        <v>936.31</v>
      </c>
      <c r="S274" s="46">
        <v>0</v>
      </c>
      <c r="T274" s="47">
        <f t="shared" si="15"/>
        <v>936.31</v>
      </c>
    </row>
    <row r="275" spans="1:20" s="31" customFormat="1" x14ac:dyDescent="0.25">
      <c r="A275" s="25" t="s">
        <v>25</v>
      </c>
      <c r="B275" s="42"/>
      <c r="C275" s="42"/>
      <c r="D275" s="25"/>
      <c r="E275" s="25"/>
      <c r="F275" s="42" t="e">
        <f t="shared" si="16"/>
        <v>#REF!</v>
      </c>
      <c r="G275" s="42" t="e">
        <f t="shared" si="16"/>
        <v>#REF!</v>
      </c>
      <c r="H275" s="43"/>
      <c r="K275" s="31" t="str">
        <f>"""GP"",""Ute Indian Tribe Membership Fund"",""aaa_contract_detail_sp"",""JRNENTRY"",""1574623"",""aaGLHdrID"",""1742349"",""aaGLDistID"",""19"",""aaGLAssignID"",""1"",""contract"",""3460 92 URHS FY2025"""</f>
        <v>"GP","Ute Indian Tribe Membership Fund","aaa_contract_detail_sp","JRNENTRY","1574623","aaGLHdrID","1742349","aaGLDistID","19","aaGLAssignID","1","contract","3460 92 URHS FY2025"</v>
      </c>
      <c r="L275" s="44">
        <v>45617</v>
      </c>
      <c r="M275" s="31">
        <v>1574623</v>
      </c>
      <c r="N275" s="31" t="str">
        <f>""</f>
        <v/>
      </c>
      <c r="O275" s="31" t="str">
        <f>""</f>
        <v/>
      </c>
      <c r="P275" s="31" t="str">
        <f>""</f>
        <v/>
      </c>
      <c r="Q275" s="45" t="str">
        <f>""</f>
        <v/>
      </c>
      <c r="R275" s="46">
        <v>700.47</v>
      </c>
      <c r="S275" s="46">
        <v>0</v>
      </c>
      <c r="T275" s="47">
        <f t="shared" si="15"/>
        <v>700.47</v>
      </c>
    </row>
    <row r="276" spans="1:20" s="31" customFormat="1" x14ac:dyDescent="0.25">
      <c r="A276" s="25" t="s">
        <v>25</v>
      </c>
      <c r="B276" s="42"/>
      <c r="C276" s="42"/>
      <c r="D276" s="25"/>
      <c r="E276" s="25"/>
      <c r="F276" s="42" t="e">
        <f t="shared" si="16"/>
        <v>#REF!</v>
      </c>
      <c r="G276" s="42" t="e">
        <f t="shared" si="16"/>
        <v>#REF!</v>
      </c>
      <c r="H276" s="43"/>
      <c r="K276" s="31" t="str">
        <f>"""GP"",""Ute Indian Tribe Membership Fund"",""aaa_contract_detail_sp"",""JRNENTRY"",""1574628"",""aaGLHdrID"",""1742354"",""aaGLDistID"",""20"",""aaGLAssignID"",""1"",""contract"",""3460 92 URHS FY2025"""</f>
        <v>"GP","Ute Indian Tribe Membership Fund","aaa_contract_detail_sp","JRNENTRY","1574628","aaGLHdrID","1742354","aaGLDistID","20","aaGLAssignID","1","contract","3460 92 URHS FY2025"</v>
      </c>
      <c r="L276" s="44">
        <v>45617</v>
      </c>
      <c r="M276" s="31">
        <v>1574628</v>
      </c>
      <c r="N276" s="31" t="str">
        <f>""</f>
        <v/>
      </c>
      <c r="O276" s="31" t="str">
        <f>""</f>
        <v/>
      </c>
      <c r="P276" s="31" t="str">
        <f>""</f>
        <v/>
      </c>
      <c r="Q276" s="45" t="str">
        <f>""</f>
        <v/>
      </c>
      <c r="R276" s="46">
        <v>936.31</v>
      </c>
      <c r="S276" s="46">
        <v>0</v>
      </c>
      <c r="T276" s="47">
        <f t="shared" si="15"/>
        <v>936.31</v>
      </c>
    </row>
    <row r="277" spans="1:20" s="31" customFormat="1" x14ac:dyDescent="0.25">
      <c r="A277" s="25" t="s">
        <v>25</v>
      </c>
      <c r="B277" s="42"/>
      <c r="C277" s="42"/>
      <c r="D277" s="25"/>
      <c r="E277" s="25"/>
      <c r="F277" s="42" t="e">
        <f t="shared" si="16"/>
        <v>#REF!</v>
      </c>
      <c r="G277" s="42" t="e">
        <f t="shared" si="16"/>
        <v>#REF!</v>
      </c>
      <c r="H277" s="43"/>
      <c r="K277" s="31" t="str">
        <f>"""GP"",""Ute Indian Tribe Membership Fund"",""aaa_contract_detail_sp"",""JRNENTRY"",""1574669"",""aaGLHdrID"",""1742395"",""aaGLDistID"",""17"",""aaGLAssignID"",""1"",""contract"",""3460 92 URHS FY2025"""</f>
        <v>"GP","Ute Indian Tribe Membership Fund","aaa_contract_detail_sp","JRNENTRY","1574669","aaGLHdrID","1742395","aaGLDistID","17","aaGLAssignID","1","contract","3460 92 URHS FY2025"</v>
      </c>
      <c r="L277" s="44">
        <v>45617</v>
      </c>
      <c r="M277" s="31">
        <v>1574669</v>
      </c>
      <c r="N277" s="31" t="str">
        <f>""</f>
        <v/>
      </c>
      <c r="O277" s="31" t="str">
        <f>""</f>
        <v/>
      </c>
      <c r="P277" s="31" t="str">
        <f>""</f>
        <v/>
      </c>
      <c r="Q277" s="45" t="str">
        <f>""</f>
        <v/>
      </c>
      <c r="R277" s="46">
        <v>700.47</v>
      </c>
      <c r="S277" s="46">
        <v>0</v>
      </c>
      <c r="T277" s="47">
        <f t="shared" si="15"/>
        <v>700.47</v>
      </c>
    </row>
    <row r="278" spans="1:20" s="31" customFormat="1" x14ac:dyDescent="0.25">
      <c r="A278" s="25" t="s">
        <v>25</v>
      </c>
      <c r="B278" s="42"/>
      <c r="C278" s="42"/>
      <c r="D278" s="25"/>
      <c r="E278" s="25"/>
      <c r="F278" s="42" t="e">
        <f t="shared" si="16"/>
        <v>#REF!</v>
      </c>
      <c r="G278" s="42" t="e">
        <f t="shared" si="16"/>
        <v>#REF!</v>
      </c>
      <c r="H278" s="43"/>
      <c r="K278" s="31" t="str">
        <f>"""GP"",""Ute Indian Tribe Membership Fund"",""aaa_contract_detail_sp"",""JRNENTRY"",""1574845"",""aaGLHdrID"",""1742571"",""aaGLDistID"",""15"",""aaGLAssignID"",""1"",""contract"",""3460 92 URHS FY2025"""</f>
        <v>"GP","Ute Indian Tribe Membership Fund","aaa_contract_detail_sp","JRNENTRY","1574845","aaGLHdrID","1742571","aaGLDistID","15","aaGLAssignID","1","contract","3460 92 URHS FY2025"</v>
      </c>
      <c r="L278" s="44">
        <v>45617</v>
      </c>
      <c r="M278" s="31">
        <v>1574845</v>
      </c>
      <c r="N278" s="31" t="str">
        <f>""</f>
        <v/>
      </c>
      <c r="O278" s="31" t="str">
        <f>""</f>
        <v/>
      </c>
      <c r="P278" s="31" t="str">
        <f>""</f>
        <v/>
      </c>
      <c r="Q278" s="45" t="str">
        <f>""</f>
        <v/>
      </c>
      <c r="R278" s="46">
        <v>936.31</v>
      </c>
      <c r="S278" s="46">
        <v>0</v>
      </c>
      <c r="T278" s="47">
        <f t="shared" si="15"/>
        <v>936.31</v>
      </c>
    </row>
    <row r="279" spans="1:20" s="31" customFormat="1" x14ac:dyDescent="0.25">
      <c r="A279" s="25" t="s">
        <v>25</v>
      </c>
      <c r="B279" s="42"/>
      <c r="C279" s="42"/>
      <c r="D279" s="25"/>
      <c r="E279" s="25"/>
      <c r="F279" s="42" t="e">
        <f t="shared" ref="F279:G300" si="17">F278</f>
        <v>#REF!</v>
      </c>
      <c r="G279" s="42" t="e">
        <f t="shared" si="17"/>
        <v>#REF!</v>
      </c>
      <c r="H279" s="43"/>
      <c r="K279" s="31" t="str">
        <f>"""GP"",""Ute Indian Tribe Membership Fund"",""aaa_contract_detail_sp"",""JRNENTRY"",""1574849"",""aaGLHdrID"",""1742575"",""aaGLDistID"",""19"",""aaGLAssignID"",""1"",""contract"",""3460 92 URHS FY2025"""</f>
        <v>"GP","Ute Indian Tribe Membership Fund","aaa_contract_detail_sp","JRNENTRY","1574849","aaGLHdrID","1742575","aaGLDistID","19","aaGLAssignID","1","contract","3460 92 URHS FY2025"</v>
      </c>
      <c r="L279" s="44">
        <v>45617</v>
      </c>
      <c r="M279" s="31">
        <v>1574849</v>
      </c>
      <c r="N279" s="31" t="str">
        <f>""</f>
        <v/>
      </c>
      <c r="O279" s="31" t="str">
        <f>""</f>
        <v/>
      </c>
      <c r="P279" s="31" t="str">
        <f>""</f>
        <v/>
      </c>
      <c r="Q279" s="45" t="str">
        <f>""</f>
        <v/>
      </c>
      <c r="R279" s="46">
        <v>936.31</v>
      </c>
      <c r="S279" s="46">
        <v>0</v>
      </c>
      <c r="T279" s="47">
        <f t="shared" si="15"/>
        <v>936.31</v>
      </c>
    </row>
    <row r="280" spans="1:20" s="31" customFormat="1" x14ac:dyDescent="0.25">
      <c r="A280" s="25" t="s">
        <v>25</v>
      </c>
      <c r="B280" s="42"/>
      <c r="C280" s="42"/>
      <c r="D280" s="25"/>
      <c r="E280" s="25"/>
      <c r="F280" s="42" t="e">
        <f t="shared" si="17"/>
        <v>#REF!</v>
      </c>
      <c r="G280" s="42" t="e">
        <f t="shared" si="17"/>
        <v>#REF!</v>
      </c>
      <c r="H280" s="43"/>
      <c r="K280" s="31" t="str">
        <f>"""GP"",""Ute Indian Tribe Membership Fund"",""aaa_contract_detail_sp"",""JRNENTRY"",""1576410"",""aaGLHdrID"",""1744370"",""aaGLDistID"",""19"",""aaGLAssignID"",""1"",""contract"",""3460 92 URHS FY2025"""</f>
        <v>"GP","Ute Indian Tribe Membership Fund","aaa_contract_detail_sp","JRNENTRY","1576410","aaGLHdrID","1744370","aaGLDistID","19","aaGLAssignID","1","contract","3460 92 URHS FY2025"</v>
      </c>
      <c r="L280" s="44">
        <v>45631</v>
      </c>
      <c r="M280" s="31">
        <v>1576410</v>
      </c>
      <c r="N280" s="31" t="str">
        <f>""</f>
        <v/>
      </c>
      <c r="O280" s="31" t="str">
        <f>""</f>
        <v/>
      </c>
      <c r="P280" s="31" t="str">
        <f>""</f>
        <v/>
      </c>
      <c r="Q280" s="45" t="str">
        <f>""</f>
        <v/>
      </c>
      <c r="R280" s="46">
        <v>700.47</v>
      </c>
      <c r="S280" s="46">
        <v>0</v>
      </c>
      <c r="T280" s="47">
        <f t="shared" si="15"/>
        <v>700.47</v>
      </c>
    </row>
    <row r="281" spans="1:20" s="31" customFormat="1" x14ac:dyDescent="0.25">
      <c r="A281" s="25" t="s">
        <v>25</v>
      </c>
      <c r="B281" s="42"/>
      <c r="C281" s="42"/>
      <c r="D281" s="25"/>
      <c r="E281" s="25"/>
      <c r="F281" s="42" t="e">
        <f t="shared" si="17"/>
        <v>#REF!</v>
      </c>
      <c r="G281" s="42" t="e">
        <f t="shared" si="17"/>
        <v>#REF!</v>
      </c>
      <c r="H281" s="43"/>
      <c r="K281" s="31" t="str">
        <f>"""GP"",""Ute Indian Tribe Membership Fund"",""aaa_contract_detail_sp"",""JRNENTRY"",""1576479"",""aaGLHdrID"",""1744439"",""aaGLDistID"",""21"",""aaGLAssignID"",""1"",""contract"",""3460 92 URHS FY2025"""</f>
        <v>"GP","Ute Indian Tribe Membership Fund","aaa_contract_detail_sp","JRNENTRY","1576479","aaGLHdrID","1744439","aaGLDistID","21","aaGLAssignID","1","contract","3460 92 URHS FY2025"</v>
      </c>
      <c r="L281" s="44">
        <v>45631</v>
      </c>
      <c r="M281" s="31">
        <v>1576479</v>
      </c>
      <c r="N281" s="31" t="str">
        <f>""</f>
        <v/>
      </c>
      <c r="O281" s="31" t="str">
        <f>""</f>
        <v/>
      </c>
      <c r="P281" s="31" t="str">
        <f>""</f>
        <v/>
      </c>
      <c r="Q281" s="45" t="str">
        <f>""</f>
        <v/>
      </c>
      <c r="R281" s="46">
        <v>936.31</v>
      </c>
      <c r="S281" s="46">
        <v>0</v>
      </c>
      <c r="T281" s="47">
        <f t="shared" si="15"/>
        <v>936.31</v>
      </c>
    </row>
    <row r="282" spans="1:20" s="31" customFormat="1" x14ac:dyDescent="0.25">
      <c r="A282" s="25" t="s">
        <v>25</v>
      </c>
      <c r="B282" s="42"/>
      <c r="C282" s="42"/>
      <c r="D282" s="25"/>
      <c r="E282" s="25"/>
      <c r="F282" s="42" t="e">
        <f t="shared" si="17"/>
        <v>#REF!</v>
      </c>
      <c r="G282" s="42" t="e">
        <f t="shared" si="17"/>
        <v>#REF!</v>
      </c>
      <c r="H282" s="43"/>
      <c r="K282" s="31" t="str">
        <f>"""GP"",""Ute Indian Tribe Membership Fund"",""aaa_contract_detail_sp"",""JRNENTRY"",""1576572"",""aaGLHdrID"",""1744532"",""aaGLDistID"",""20"",""aaGLAssignID"",""1"",""contract"",""3460 92 URHS FY2025"""</f>
        <v>"GP","Ute Indian Tribe Membership Fund","aaa_contract_detail_sp","JRNENTRY","1576572","aaGLHdrID","1744532","aaGLDistID","20","aaGLAssignID","1","contract","3460 92 URHS FY2025"</v>
      </c>
      <c r="L282" s="44">
        <v>45631</v>
      </c>
      <c r="M282" s="31">
        <v>1576572</v>
      </c>
      <c r="N282" s="31" t="str">
        <f>""</f>
        <v/>
      </c>
      <c r="O282" s="31" t="str">
        <f>""</f>
        <v/>
      </c>
      <c r="P282" s="31" t="str">
        <f>""</f>
        <v/>
      </c>
      <c r="Q282" s="45" t="str">
        <f>""</f>
        <v/>
      </c>
      <c r="R282" s="46">
        <v>700.47</v>
      </c>
      <c r="S282" s="46">
        <v>0</v>
      </c>
      <c r="T282" s="47">
        <f t="shared" si="15"/>
        <v>700.47</v>
      </c>
    </row>
    <row r="283" spans="1:20" s="31" customFormat="1" x14ac:dyDescent="0.25">
      <c r="A283" s="25" t="s">
        <v>25</v>
      </c>
      <c r="B283" s="42"/>
      <c r="C283" s="42"/>
      <c r="D283" s="25"/>
      <c r="E283" s="25"/>
      <c r="F283" s="42" t="e">
        <f t="shared" si="17"/>
        <v>#REF!</v>
      </c>
      <c r="G283" s="42" t="e">
        <f t="shared" si="17"/>
        <v>#REF!</v>
      </c>
      <c r="H283" s="43"/>
      <c r="K283" s="31" t="str">
        <f>"""GP"",""Ute Indian Tribe Membership Fund"",""aaa_contract_detail_sp"",""JRNENTRY"",""1576577"",""aaGLHdrID"",""1744537"",""aaGLDistID"",""20"",""aaGLAssignID"",""1"",""contract"",""3460 92 URHS FY2025"""</f>
        <v>"GP","Ute Indian Tribe Membership Fund","aaa_contract_detail_sp","JRNENTRY","1576577","aaGLHdrID","1744537","aaGLDistID","20","aaGLAssignID","1","contract","3460 92 URHS FY2025"</v>
      </c>
      <c r="L283" s="44">
        <v>45631</v>
      </c>
      <c r="M283" s="31">
        <v>1576577</v>
      </c>
      <c r="N283" s="31" t="str">
        <f>""</f>
        <v/>
      </c>
      <c r="O283" s="31" t="str">
        <f>""</f>
        <v/>
      </c>
      <c r="P283" s="31" t="str">
        <f>""</f>
        <v/>
      </c>
      <c r="Q283" s="45" t="str">
        <f>""</f>
        <v/>
      </c>
      <c r="R283" s="46">
        <v>936.31</v>
      </c>
      <c r="S283" s="46">
        <v>0</v>
      </c>
      <c r="T283" s="47">
        <f t="shared" si="15"/>
        <v>936.31</v>
      </c>
    </row>
    <row r="284" spans="1:20" s="31" customFormat="1" x14ac:dyDescent="0.25">
      <c r="A284" s="25" t="s">
        <v>25</v>
      </c>
      <c r="B284" s="42"/>
      <c r="C284" s="42"/>
      <c r="D284" s="25"/>
      <c r="E284" s="25"/>
      <c r="F284" s="42" t="e">
        <f t="shared" si="17"/>
        <v>#REF!</v>
      </c>
      <c r="G284" s="42" t="e">
        <f t="shared" si="17"/>
        <v>#REF!</v>
      </c>
      <c r="H284" s="43"/>
      <c r="K284" s="31" t="str">
        <f>"""GP"",""Ute Indian Tribe Membership Fund"",""aaa_contract_detail_sp"",""JRNENTRY"",""1576618"",""aaGLHdrID"",""1744578"",""aaGLDistID"",""20"",""aaGLAssignID"",""1"",""contract"",""3460 92 URHS FY2025"""</f>
        <v>"GP","Ute Indian Tribe Membership Fund","aaa_contract_detail_sp","JRNENTRY","1576618","aaGLHdrID","1744578","aaGLDistID","20","aaGLAssignID","1","contract","3460 92 URHS FY2025"</v>
      </c>
      <c r="L284" s="44">
        <v>45631</v>
      </c>
      <c r="M284" s="31">
        <v>1576618</v>
      </c>
      <c r="N284" s="31" t="str">
        <f>""</f>
        <v/>
      </c>
      <c r="O284" s="31" t="str">
        <f>""</f>
        <v/>
      </c>
      <c r="P284" s="31" t="str">
        <f>""</f>
        <v/>
      </c>
      <c r="Q284" s="45" t="str">
        <f>""</f>
        <v/>
      </c>
      <c r="R284" s="46">
        <v>700.47</v>
      </c>
      <c r="S284" s="46">
        <v>0</v>
      </c>
      <c r="T284" s="47">
        <f t="shared" si="15"/>
        <v>700.47</v>
      </c>
    </row>
    <row r="285" spans="1:20" s="31" customFormat="1" x14ac:dyDescent="0.25">
      <c r="A285" s="25" t="s">
        <v>25</v>
      </c>
      <c r="B285" s="42"/>
      <c r="C285" s="42"/>
      <c r="D285" s="25"/>
      <c r="E285" s="25"/>
      <c r="F285" s="42" t="e">
        <f t="shared" si="17"/>
        <v>#REF!</v>
      </c>
      <c r="G285" s="42" t="e">
        <f t="shared" si="17"/>
        <v>#REF!</v>
      </c>
      <c r="H285" s="43"/>
      <c r="K285" s="31" t="str">
        <f>"""GP"",""Ute Indian Tribe Membership Fund"",""aaa_contract_detail_sp"",""JRNENTRY"",""1576790"",""aaGLHdrID"",""1744750"",""aaGLDistID"",""17"",""aaGLAssignID"",""1"",""contract"",""3460 92 URHS FY2025"""</f>
        <v>"GP","Ute Indian Tribe Membership Fund","aaa_contract_detail_sp","JRNENTRY","1576790","aaGLHdrID","1744750","aaGLDistID","17","aaGLAssignID","1","contract","3460 92 URHS FY2025"</v>
      </c>
      <c r="L285" s="44">
        <v>45631</v>
      </c>
      <c r="M285" s="31">
        <v>1576790</v>
      </c>
      <c r="N285" s="31" t="str">
        <f>""</f>
        <v/>
      </c>
      <c r="O285" s="31" t="str">
        <f>""</f>
        <v/>
      </c>
      <c r="P285" s="31" t="str">
        <f>""</f>
        <v/>
      </c>
      <c r="Q285" s="45" t="str">
        <f>""</f>
        <v/>
      </c>
      <c r="R285" s="46">
        <v>936.31</v>
      </c>
      <c r="S285" s="46">
        <v>0</v>
      </c>
      <c r="T285" s="47">
        <f t="shared" si="15"/>
        <v>936.31</v>
      </c>
    </row>
    <row r="286" spans="1:20" s="31" customFormat="1" x14ac:dyDescent="0.25">
      <c r="A286" s="25" t="s">
        <v>25</v>
      </c>
      <c r="B286" s="42"/>
      <c r="C286" s="42"/>
      <c r="D286" s="25"/>
      <c r="E286" s="25"/>
      <c r="F286" s="42" t="e">
        <f t="shared" si="17"/>
        <v>#REF!</v>
      </c>
      <c r="G286" s="42" t="e">
        <f t="shared" si="17"/>
        <v>#REF!</v>
      </c>
      <c r="H286" s="43"/>
      <c r="K286" s="31" t="str">
        <f>"""GP"",""Ute Indian Tribe Membership Fund"",""aaa_contract_detail_sp"",""JRNENTRY"",""1576794"",""aaGLHdrID"",""1744754"",""aaGLDistID"",""19"",""aaGLAssignID"",""1"",""contract"",""3460 92 URHS FY2025"""</f>
        <v>"GP","Ute Indian Tribe Membership Fund","aaa_contract_detail_sp","JRNENTRY","1576794","aaGLHdrID","1744754","aaGLDistID","19","aaGLAssignID","1","contract","3460 92 URHS FY2025"</v>
      </c>
      <c r="L286" s="44">
        <v>45631</v>
      </c>
      <c r="M286" s="31">
        <v>1576794</v>
      </c>
      <c r="N286" s="31" t="str">
        <f>""</f>
        <v/>
      </c>
      <c r="O286" s="31" t="str">
        <f>""</f>
        <v/>
      </c>
      <c r="P286" s="31" t="str">
        <f>""</f>
        <v/>
      </c>
      <c r="Q286" s="45" t="str">
        <f>""</f>
        <v/>
      </c>
      <c r="R286" s="46">
        <v>936.31</v>
      </c>
      <c r="S286" s="46">
        <v>0</v>
      </c>
      <c r="T286" s="47">
        <f t="shared" si="15"/>
        <v>936.31</v>
      </c>
    </row>
    <row r="287" spans="1:20" s="31" customFormat="1" x14ac:dyDescent="0.25">
      <c r="A287" s="25" t="s">
        <v>25</v>
      </c>
      <c r="B287" s="42"/>
      <c r="C287" s="42"/>
      <c r="D287" s="25"/>
      <c r="E287" s="25"/>
      <c r="F287" s="42" t="e">
        <f t="shared" si="17"/>
        <v>#REF!</v>
      </c>
      <c r="G287" s="42" t="e">
        <f t="shared" si="17"/>
        <v>#REF!</v>
      </c>
      <c r="H287" s="43"/>
      <c r="K287" s="31" t="str">
        <f>"""GP"",""Ute Indian Tribe Membership Fund"",""aaa_contract_detail_sp"",""JRNENTRY"",""1579504"",""aaGLHdrID"",""1747393"",""aaGLDistID"",""20"",""aaGLAssignID"",""1"",""contract"",""3460 92 URHS FY2025"""</f>
        <v>"GP","Ute Indian Tribe Membership Fund","aaa_contract_detail_sp","JRNENTRY","1579504","aaGLHdrID","1747393","aaGLDistID","20","aaGLAssignID","1","contract","3460 92 URHS FY2025"</v>
      </c>
      <c r="L287" s="44">
        <v>45645</v>
      </c>
      <c r="M287" s="31">
        <v>1579504</v>
      </c>
      <c r="N287" s="31" t="str">
        <f>""</f>
        <v/>
      </c>
      <c r="O287" s="31" t="str">
        <f>""</f>
        <v/>
      </c>
      <c r="P287" s="31" t="str">
        <f>""</f>
        <v/>
      </c>
      <c r="Q287" s="45" t="str">
        <f>""</f>
        <v/>
      </c>
      <c r="R287" s="46">
        <v>700.47</v>
      </c>
      <c r="S287" s="46">
        <v>0</v>
      </c>
      <c r="T287" s="47">
        <f t="shared" si="15"/>
        <v>700.47</v>
      </c>
    </row>
    <row r="288" spans="1:20" s="31" customFormat="1" x14ac:dyDescent="0.25">
      <c r="A288" s="25" t="s">
        <v>25</v>
      </c>
      <c r="B288" s="42"/>
      <c r="C288" s="42"/>
      <c r="D288" s="25"/>
      <c r="E288" s="25"/>
      <c r="F288" s="42" t="e">
        <f t="shared" si="17"/>
        <v>#REF!</v>
      </c>
      <c r="G288" s="42" t="e">
        <f t="shared" si="17"/>
        <v>#REF!</v>
      </c>
      <c r="H288" s="43"/>
      <c r="K288" s="31" t="str">
        <f>"""GP"",""Ute Indian Tribe Membership Fund"",""aaa_contract_detail_sp"",""JRNENTRY"",""1579569"",""aaGLHdrID"",""1747458"",""aaGLDistID"",""21"",""aaGLAssignID"",""1"",""contract"",""3460 92 URHS FY2025"""</f>
        <v>"GP","Ute Indian Tribe Membership Fund","aaa_contract_detail_sp","JRNENTRY","1579569","aaGLHdrID","1747458","aaGLDistID","21","aaGLAssignID","1","contract","3460 92 URHS FY2025"</v>
      </c>
      <c r="L288" s="44">
        <v>45645</v>
      </c>
      <c r="M288" s="31">
        <v>1579569</v>
      </c>
      <c r="N288" s="31" t="str">
        <f>""</f>
        <v/>
      </c>
      <c r="O288" s="31" t="str">
        <f>""</f>
        <v/>
      </c>
      <c r="P288" s="31" t="str">
        <f>""</f>
        <v/>
      </c>
      <c r="Q288" s="45" t="str">
        <f>""</f>
        <v/>
      </c>
      <c r="R288" s="46">
        <v>936.31</v>
      </c>
      <c r="S288" s="46">
        <v>0</v>
      </c>
      <c r="T288" s="47">
        <f t="shared" si="15"/>
        <v>936.31</v>
      </c>
    </row>
    <row r="289" spans="1:20" s="31" customFormat="1" x14ac:dyDescent="0.25">
      <c r="A289" s="25" t="s">
        <v>25</v>
      </c>
      <c r="B289" s="42"/>
      <c r="C289" s="42"/>
      <c r="D289" s="25"/>
      <c r="E289" s="25"/>
      <c r="F289" s="42" t="e">
        <f t="shared" si="17"/>
        <v>#REF!</v>
      </c>
      <c r="G289" s="42" t="e">
        <f t="shared" si="17"/>
        <v>#REF!</v>
      </c>
      <c r="H289" s="43"/>
      <c r="K289" s="31" t="str">
        <f>"""GP"",""Ute Indian Tribe Membership Fund"",""aaa_contract_detail_sp"",""JRNENTRY"",""1579662"",""aaGLHdrID"",""1747551"",""aaGLDistID"",""19"",""aaGLAssignID"",""1"",""contract"",""3460 92 URHS FY2025"""</f>
        <v>"GP","Ute Indian Tribe Membership Fund","aaa_contract_detail_sp","JRNENTRY","1579662","aaGLHdrID","1747551","aaGLDistID","19","aaGLAssignID","1","contract","3460 92 URHS FY2025"</v>
      </c>
      <c r="L289" s="44">
        <v>45645</v>
      </c>
      <c r="M289" s="31">
        <v>1579662</v>
      </c>
      <c r="N289" s="31" t="str">
        <f>""</f>
        <v/>
      </c>
      <c r="O289" s="31" t="str">
        <f>""</f>
        <v/>
      </c>
      <c r="P289" s="31" t="str">
        <f>""</f>
        <v/>
      </c>
      <c r="Q289" s="45" t="str">
        <f>""</f>
        <v/>
      </c>
      <c r="R289" s="46">
        <v>700.47</v>
      </c>
      <c r="S289" s="46">
        <v>0</v>
      </c>
      <c r="T289" s="47">
        <f t="shared" si="15"/>
        <v>700.47</v>
      </c>
    </row>
    <row r="290" spans="1:20" s="31" customFormat="1" x14ac:dyDescent="0.25">
      <c r="A290" s="25" t="s">
        <v>25</v>
      </c>
      <c r="B290" s="42"/>
      <c r="C290" s="42"/>
      <c r="D290" s="25"/>
      <c r="E290" s="25"/>
      <c r="F290" s="42" t="e">
        <f t="shared" si="17"/>
        <v>#REF!</v>
      </c>
      <c r="G290" s="42" t="e">
        <f t="shared" si="17"/>
        <v>#REF!</v>
      </c>
      <c r="H290" s="43"/>
      <c r="K290" s="31" t="str">
        <f>"""GP"",""Ute Indian Tribe Membership Fund"",""aaa_contract_detail_sp"",""JRNENTRY"",""1579667"",""aaGLHdrID"",""1747556"",""aaGLDistID"",""21"",""aaGLAssignID"",""1"",""contract"",""3460 92 URHS FY2025"""</f>
        <v>"GP","Ute Indian Tribe Membership Fund","aaa_contract_detail_sp","JRNENTRY","1579667","aaGLHdrID","1747556","aaGLDistID","21","aaGLAssignID","1","contract","3460 92 URHS FY2025"</v>
      </c>
      <c r="L290" s="44">
        <v>45645</v>
      </c>
      <c r="M290" s="31">
        <v>1579667</v>
      </c>
      <c r="N290" s="31" t="str">
        <f>""</f>
        <v/>
      </c>
      <c r="O290" s="31" t="str">
        <f>""</f>
        <v/>
      </c>
      <c r="P290" s="31" t="str">
        <f>""</f>
        <v/>
      </c>
      <c r="Q290" s="45" t="str">
        <f>""</f>
        <v/>
      </c>
      <c r="R290" s="46">
        <v>936.31</v>
      </c>
      <c r="S290" s="46">
        <v>0</v>
      </c>
      <c r="T290" s="47">
        <f t="shared" si="15"/>
        <v>936.31</v>
      </c>
    </row>
    <row r="291" spans="1:20" s="31" customFormat="1" x14ac:dyDescent="0.25">
      <c r="A291" s="25" t="s">
        <v>25</v>
      </c>
      <c r="B291" s="42"/>
      <c r="C291" s="42"/>
      <c r="D291" s="25"/>
      <c r="E291" s="25"/>
      <c r="F291" s="42" t="e">
        <f t="shared" si="17"/>
        <v>#REF!</v>
      </c>
      <c r="G291" s="42" t="e">
        <f t="shared" si="17"/>
        <v>#REF!</v>
      </c>
      <c r="H291" s="43"/>
      <c r="K291" s="31" t="str">
        <f>"""GP"",""Ute Indian Tribe Membership Fund"",""aaa_contract_detail_sp"",""JRNENTRY"",""1579707"",""aaGLHdrID"",""1747596"",""aaGLDistID"",""18"",""aaGLAssignID"",""1"",""contract"",""3460 92 URHS FY2025"""</f>
        <v>"GP","Ute Indian Tribe Membership Fund","aaa_contract_detail_sp","JRNENTRY","1579707","aaGLHdrID","1747596","aaGLDistID","18","aaGLAssignID","1","contract","3460 92 URHS FY2025"</v>
      </c>
      <c r="L291" s="44">
        <v>45645</v>
      </c>
      <c r="M291" s="31">
        <v>1579707</v>
      </c>
      <c r="N291" s="31" t="str">
        <f>""</f>
        <v/>
      </c>
      <c r="O291" s="31" t="str">
        <f>""</f>
        <v/>
      </c>
      <c r="P291" s="31" t="str">
        <f>""</f>
        <v/>
      </c>
      <c r="Q291" s="45" t="str">
        <f>""</f>
        <v/>
      </c>
      <c r="R291" s="46">
        <v>700.47</v>
      </c>
      <c r="S291" s="46">
        <v>0</v>
      </c>
      <c r="T291" s="47">
        <f t="shared" si="15"/>
        <v>700.47</v>
      </c>
    </row>
    <row r="292" spans="1:20" s="31" customFormat="1" x14ac:dyDescent="0.25">
      <c r="A292" s="25" t="s">
        <v>25</v>
      </c>
      <c r="B292" s="42"/>
      <c r="C292" s="42"/>
      <c r="D292" s="25"/>
      <c r="E292" s="25"/>
      <c r="F292" s="42" t="e">
        <f t="shared" si="17"/>
        <v>#REF!</v>
      </c>
      <c r="G292" s="42" t="e">
        <f t="shared" si="17"/>
        <v>#REF!</v>
      </c>
      <c r="H292" s="43"/>
      <c r="K292" s="31" t="str">
        <f>"""GP"",""Ute Indian Tribe Membership Fund"",""aaa_contract_detail_sp"",""JRNENTRY"",""1579879"",""aaGLHdrID"",""1747768"",""aaGLDistID"",""16"",""aaGLAssignID"",""1"",""contract"",""3460 92 URHS FY2025"""</f>
        <v>"GP","Ute Indian Tribe Membership Fund","aaa_contract_detail_sp","JRNENTRY","1579879","aaGLHdrID","1747768","aaGLDistID","16","aaGLAssignID","1","contract","3460 92 URHS FY2025"</v>
      </c>
      <c r="L292" s="44">
        <v>45645</v>
      </c>
      <c r="M292" s="31">
        <v>1579879</v>
      </c>
      <c r="N292" s="31" t="str">
        <f>""</f>
        <v/>
      </c>
      <c r="O292" s="31" t="str">
        <f>""</f>
        <v/>
      </c>
      <c r="P292" s="31" t="str">
        <f>""</f>
        <v/>
      </c>
      <c r="Q292" s="45" t="str">
        <f>""</f>
        <v/>
      </c>
      <c r="R292" s="46">
        <v>936.31</v>
      </c>
      <c r="S292" s="46">
        <v>0</v>
      </c>
      <c r="T292" s="47">
        <f t="shared" si="15"/>
        <v>936.31</v>
      </c>
    </row>
    <row r="293" spans="1:20" s="31" customFormat="1" x14ac:dyDescent="0.25">
      <c r="A293" s="25" t="s">
        <v>25</v>
      </c>
      <c r="B293" s="42"/>
      <c r="C293" s="42"/>
      <c r="D293" s="25"/>
      <c r="E293" s="25"/>
      <c r="F293" s="42" t="e">
        <f t="shared" si="17"/>
        <v>#REF!</v>
      </c>
      <c r="G293" s="42" t="e">
        <f t="shared" si="17"/>
        <v>#REF!</v>
      </c>
      <c r="H293" s="43"/>
      <c r="K293" s="31" t="str">
        <f>"""GP"",""Ute Indian Tribe Membership Fund"",""aaa_contract_detail_sp"",""JRNENTRY"",""1579883"",""aaGLHdrID"",""1747772"",""aaGLDistID"",""19"",""aaGLAssignID"",""1"",""contract"",""3460 92 URHS FY2025"""</f>
        <v>"GP","Ute Indian Tribe Membership Fund","aaa_contract_detail_sp","JRNENTRY","1579883","aaGLHdrID","1747772","aaGLDistID","19","aaGLAssignID","1","contract","3460 92 URHS FY2025"</v>
      </c>
      <c r="L293" s="44">
        <v>45645</v>
      </c>
      <c r="M293" s="31">
        <v>1579883</v>
      </c>
      <c r="N293" s="31" t="str">
        <f>""</f>
        <v/>
      </c>
      <c r="O293" s="31" t="str">
        <f>""</f>
        <v/>
      </c>
      <c r="P293" s="31" t="str">
        <f>""</f>
        <v/>
      </c>
      <c r="Q293" s="45" t="str">
        <f>""</f>
        <v/>
      </c>
      <c r="R293" s="46">
        <v>936.31</v>
      </c>
      <c r="S293" s="46">
        <v>0</v>
      </c>
      <c r="T293" s="47">
        <f t="shared" si="15"/>
        <v>936.31</v>
      </c>
    </row>
    <row r="294" spans="1:20" s="31" customFormat="1" x14ac:dyDescent="0.25">
      <c r="A294" s="25" t="s">
        <v>25</v>
      </c>
      <c r="B294" s="42"/>
      <c r="C294" s="42"/>
      <c r="D294" s="25"/>
      <c r="E294" s="25"/>
      <c r="F294" s="42" t="e">
        <f t="shared" si="17"/>
        <v>#REF!</v>
      </c>
      <c r="G294" s="42" t="e">
        <f t="shared" si="17"/>
        <v>#REF!</v>
      </c>
      <c r="H294" s="43"/>
      <c r="K294" s="31" t="str">
        <f>"""GP"",""Ute Indian Tribe Membership Fund"",""aaa_contract_detail_sp"",""JRNENTRY"",""1580575"",""aaGLHdrID"",""1748314"",""aaGLDistID"",""18"",""aaGLAssignID"",""1"",""contract"",""3460 92 URHS FY2025"""</f>
        <v>"GP","Ute Indian Tribe Membership Fund","aaa_contract_detail_sp","JRNENTRY","1580575","aaGLHdrID","1748314","aaGLDistID","18","aaGLAssignID","1","contract","3460 92 URHS FY2025"</v>
      </c>
      <c r="L294" s="44">
        <v>45656</v>
      </c>
      <c r="M294" s="31">
        <v>1580575</v>
      </c>
      <c r="N294" s="31" t="str">
        <f>""</f>
        <v/>
      </c>
      <c r="O294" s="31" t="str">
        <f>""</f>
        <v/>
      </c>
      <c r="P294" s="31" t="str">
        <f>""</f>
        <v/>
      </c>
      <c r="Q294" s="45" t="str">
        <f>""</f>
        <v/>
      </c>
      <c r="R294" s="46">
        <v>700.47</v>
      </c>
      <c r="S294" s="46">
        <v>0</v>
      </c>
      <c r="T294" s="47">
        <f t="shared" si="15"/>
        <v>700.47</v>
      </c>
    </row>
    <row r="295" spans="1:20" s="31" customFormat="1" x14ac:dyDescent="0.25">
      <c r="A295" s="25" t="s">
        <v>25</v>
      </c>
      <c r="B295" s="42"/>
      <c r="C295" s="42"/>
      <c r="D295" s="25"/>
      <c r="E295" s="25"/>
      <c r="F295" s="42" t="e">
        <f t="shared" si="17"/>
        <v>#REF!</v>
      </c>
      <c r="G295" s="42" t="e">
        <f t="shared" si="17"/>
        <v>#REF!</v>
      </c>
      <c r="H295" s="43"/>
      <c r="K295" s="31" t="str">
        <f>"""GP"",""Ute Indian Tribe Membership Fund"",""aaa_contract_detail_sp"",""JRNENTRY"",""1580641"",""aaGLHdrID"",""1748380"",""aaGLDistID"",""20"",""aaGLAssignID"",""1"",""contract"",""3460 92 URHS FY2025"""</f>
        <v>"GP","Ute Indian Tribe Membership Fund","aaa_contract_detail_sp","JRNENTRY","1580641","aaGLHdrID","1748380","aaGLDistID","20","aaGLAssignID","1","contract","3460 92 URHS FY2025"</v>
      </c>
      <c r="L295" s="44">
        <v>45656</v>
      </c>
      <c r="M295" s="31">
        <v>1580641</v>
      </c>
      <c r="N295" s="31" t="str">
        <f>""</f>
        <v/>
      </c>
      <c r="O295" s="31" t="str">
        <f>""</f>
        <v/>
      </c>
      <c r="P295" s="31" t="str">
        <f>""</f>
        <v/>
      </c>
      <c r="Q295" s="45" t="str">
        <f>""</f>
        <v/>
      </c>
      <c r="R295" s="46">
        <v>936.31</v>
      </c>
      <c r="S295" s="46">
        <v>0</v>
      </c>
      <c r="T295" s="47">
        <f t="shared" si="15"/>
        <v>936.31</v>
      </c>
    </row>
    <row r="296" spans="1:20" s="31" customFormat="1" x14ac:dyDescent="0.25">
      <c r="A296" s="25" t="s">
        <v>25</v>
      </c>
      <c r="B296" s="42"/>
      <c r="C296" s="42"/>
      <c r="D296" s="25"/>
      <c r="E296" s="25"/>
      <c r="F296" s="42" t="e">
        <f t="shared" si="17"/>
        <v>#REF!</v>
      </c>
      <c r="G296" s="42" t="e">
        <f t="shared" si="17"/>
        <v>#REF!</v>
      </c>
      <c r="H296" s="43"/>
      <c r="K296" s="31" t="str">
        <f>"""GP"",""Ute Indian Tribe Membership Fund"",""aaa_contract_detail_sp"",""JRNENTRY"",""1580732"",""aaGLHdrID"",""1748471"",""aaGLDistID"",""19"",""aaGLAssignID"",""1"",""contract"",""3460 92 URHS FY2025"""</f>
        <v>"GP","Ute Indian Tribe Membership Fund","aaa_contract_detail_sp","JRNENTRY","1580732","aaGLHdrID","1748471","aaGLDistID","19","aaGLAssignID","1","contract","3460 92 URHS FY2025"</v>
      </c>
      <c r="L296" s="44">
        <v>45656</v>
      </c>
      <c r="M296" s="31">
        <v>1580732</v>
      </c>
      <c r="N296" s="31" t="str">
        <f>""</f>
        <v/>
      </c>
      <c r="O296" s="31" t="str">
        <f>""</f>
        <v/>
      </c>
      <c r="P296" s="31" t="str">
        <f>""</f>
        <v/>
      </c>
      <c r="Q296" s="45" t="str">
        <f>""</f>
        <v/>
      </c>
      <c r="R296" s="46">
        <v>700.47</v>
      </c>
      <c r="S296" s="46">
        <v>0</v>
      </c>
      <c r="T296" s="47">
        <f t="shared" si="15"/>
        <v>700.47</v>
      </c>
    </row>
    <row r="297" spans="1:20" s="31" customFormat="1" x14ac:dyDescent="0.25">
      <c r="A297" s="25" t="s">
        <v>25</v>
      </c>
      <c r="B297" s="42"/>
      <c r="C297" s="42"/>
      <c r="D297" s="25"/>
      <c r="E297" s="25"/>
      <c r="F297" s="42" t="e">
        <f t="shared" si="17"/>
        <v>#REF!</v>
      </c>
      <c r="G297" s="42" t="e">
        <f t="shared" si="17"/>
        <v>#REF!</v>
      </c>
      <c r="H297" s="43"/>
      <c r="K297" s="31" t="str">
        <f>"""GP"",""Ute Indian Tribe Membership Fund"",""aaa_contract_detail_sp"",""JRNENTRY"",""1580737"",""aaGLHdrID"",""1748476"",""aaGLDistID"",""19"",""aaGLAssignID"",""1"",""contract"",""3460 92 URHS FY2025"""</f>
        <v>"GP","Ute Indian Tribe Membership Fund","aaa_contract_detail_sp","JRNENTRY","1580737","aaGLHdrID","1748476","aaGLDistID","19","aaGLAssignID","1","contract","3460 92 URHS FY2025"</v>
      </c>
      <c r="L297" s="44">
        <v>45656</v>
      </c>
      <c r="M297" s="31">
        <v>1580737</v>
      </c>
      <c r="N297" s="31" t="str">
        <f>""</f>
        <v/>
      </c>
      <c r="O297" s="31" t="str">
        <f>""</f>
        <v/>
      </c>
      <c r="P297" s="31" t="str">
        <f>""</f>
        <v/>
      </c>
      <c r="Q297" s="45" t="str">
        <f>""</f>
        <v/>
      </c>
      <c r="R297" s="46">
        <v>936.31</v>
      </c>
      <c r="S297" s="46">
        <v>0</v>
      </c>
      <c r="T297" s="47">
        <f t="shared" si="15"/>
        <v>936.31</v>
      </c>
    </row>
    <row r="298" spans="1:20" s="31" customFormat="1" x14ac:dyDescent="0.25">
      <c r="A298" s="25" t="s">
        <v>25</v>
      </c>
      <c r="B298" s="42"/>
      <c r="C298" s="42"/>
      <c r="D298" s="25"/>
      <c r="E298" s="25"/>
      <c r="F298" s="42" t="e">
        <f t="shared" si="17"/>
        <v>#REF!</v>
      </c>
      <c r="G298" s="42" t="e">
        <f t="shared" si="17"/>
        <v>#REF!</v>
      </c>
      <c r="H298" s="43"/>
      <c r="K298" s="31" t="str">
        <f>"""GP"",""Ute Indian Tribe Membership Fund"",""aaa_contract_detail_sp"",""JRNENTRY"",""1580777"",""aaGLHdrID"",""1748516"",""aaGLDistID"",""17"",""aaGLAssignID"",""1"",""contract"",""3460 92 URHS FY2025"""</f>
        <v>"GP","Ute Indian Tribe Membership Fund","aaa_contract_detail_sp","JRNENTRY","1580777","aaGLHdrID","1748516","aaGLDistID","17","aaGLAssignID","1","contract","3460 92 URHS FY2025"</v>
      </c>
      <c r="L298" s="44">
        <v>45656</v>
      </c>
      <c r="M298" s="31">
        <v>1580777</v>
      </c>
      <c r="N298" s="31" t="str">
        <f>""</f>
        <v/>
      </c>
      <c r="O298" s="31" t="str">
        <f>""</f>
        <v/>
      </c>
      <c r="P298" s="31" t="str">
        <f>""</f>
        <v/>
      </c>
      <c r="Q298" s="45" t="str">
        <f>""</f>
        <v/>
      </c>
      <c r="R298" s="46">
        <v>700.47</v>
      </c>
      <c r="S298" s="46">
        <v>0</v>
      </c>
      <c r="T298" s="47">
        <f t="shared" si="15"/>
        <v>700.47</v>
      </c>
    </row>
    <row r="299" spans="1:20" s="31" customFormat="1" x14ac:dyDescent="0.25">
      <c r="A299" s="25" t="s">
        <v>25</v>
      </c>
      <c r="B299" s="42"/>
      <c r="C299" s="42"/>
      <c r="D299" s="25"/>
      <c r="E299" s="25"/>
      <c r="F299" s="42" t="e">
        <f t="shared" si="17"/>
        <v>#REF!</v>
      </c>
      <c r="G299" s="42" t="e">
        <f t="shared" si="17"/>
        <v>#REF!</v>
      </c>
      <c r="H299" s="43"/>
      <c r="K299" s="31" t="str">
        <f>"""GP"",""Ute Indian Tribe Membership Fund"",""aaa_contract_detail_sp"",""JRNENTRY"",""1580943"",""aaGLHdrID"",""1748682"",""aaGLDistID"",""16"",""aaGLAssignID"",""1"",""contract"",""3460 92 URHS FY2025"""</f>
        <v>"GP","Ute Indian Tribe Membership Fund","aaa_contract_detail_sp","JRNENTRY","1580943","aaGLHdrID","1748682","aaGLDistID","16","aaGLAssignID","1","contract","3460 92 URHS FY2025"</v>
      </c>
      <c r="L299" s="44">
        <v>45656</v>
      </c>
      <c r="M299" s="31">
        <v>1580943</v>
      </c>
      <c r="N299" s="31" t="str">
        <f>""</f>
        <v/>
      </c>
      <c r="O299" s="31" t="str">
        <f>""</f>
        <v/>
      </c>
      <c r="P299" s="31" t="str">
        <f>""</f>
        <v/>
      </c>
      <c r="Q299" s="45" t="str">
        <f>""</f>
        <v/>
      </c>
      <c r="R299" s="46">
        <v>936.31</v>
      </c>
      <c r="S299" s="46">
        <v>0</v>
      </c>
      <c r="T299" s="47">
        <f t="shared" si="15"/>
        <v>936.31</v>
      </c>
    </row>
    <row r="300" spans="1:20" s="31" customFormat="1" x14ac:dyDescent="0.25">
      <c r="A300" s="25" t="s">
        <v>25</v>
      </c>
      <c r="B300" s="42"/>
      <c r="C300" s="42"/>
      <c r="D300" s="25"/>
      <c r="E300" s="25"/>
      <c r="F300" s="42" t="e">
        <f t="shared" si="17"/>
        <v>#REF!</v>
      </c>
      <c r="G300" s="42" t="e">
        <f t="shared" si="17"/>
        <v>#REF!</v>
      </c>
      <c r="H300" s="43"/>
      <c r="K300" s="31" t="str">
        <f>"""GP"",""Ute Indian Tribe Membership Fund"",""aaa_contract_detail_sp"",""JRNENTRY"",""1580947"",""aaGLHdrID"",""1748686"",""aaGLDistID"",""19"",""aaGLAssignID"",""1"",""contract"",""3460 92 URHS FY2025"""</f>
        <v>"GP","Ute Indian Tribe Membership Fund","aaa_contract_detail_sp","JRNENTRY","1580947","aaGLHdrID","1748686","aaGLDistID","19","aaGLAssignID","1","contract","3460 92 URHS FY2025"</v>
      </c>
      <c r="L300" s="44">
        <v>45656</v>
      </c>
      <c r="M300" s="31">
        <v>1580947</v>
      </c>
      <c r="N300" s="31" t="str">
        <f>""</f>
        <v/>
      </c>
      <c r="O300" s="31" t="str">
        <f>""</f>
        <v/>
      </c>
      <c r="P300" s="31" t="str">
        <f>""</f>
        <v/>
      </c>
      <c r="Q300" s="45" t="str">
        <f>""</f>
        <v/>
      </c>
      <c r="R300" s="46">
        <v>936.31</v>
      </c>
      <c r="S300" s="46">
        <v>0</v>
      </c>
      <c r="T300" s="47">
        <f t="shared" si="15"/>
        <v>936.31</v>
      </c>
    </row>
    <row r="301" spans="1:20" s="31" customFormat="1" ht="12.75" x14ac:dyDescent="0.2">
      <c r="A301" s="25" t="s">
        <v>25</v>
      </c>
      <c r="B301" s="42"/>
      <c r="C301" s="42"/>
      <c r="D301" s="25"/>
      <c r="E301" s="25"/>
      <c r="F301" s="42" t="e">
        <f>#REF!</f>
        <v>#REF!</v>
      </c>
      <c r="G301" s="42" t="e">
        <f>#REF!</f>
        <v>#REF!</v>
      </c>
      <c r="H301" s="43"/>
    </row>
    <row r="302" spans="1:20" s="31" customFormat="1" ht="12.75" x14ac:dyDescent="0.2">
      <c r="A302" s="25" t="s">
        <v>25</v>
      </c>
      <c r="B302" s="25"/>
      <c r="C302" s="25"/>
      <c r="D302" s="25"/>
      <c r="E302" s="25"/>
      <c r="F302" s="25"/>
      <c r="G302" s="25"/>
      <c r="H302" s="30"/>
      <c r="I302" s="54" t="str">
        <f>I265&amp;"   "&amp;J265&amp;"         Total:"</f>
        <v>5021-0-6115-3460   Fringe Benefits - Health and Life Insurance         Total:</v>
      </c>
      <c r="J302" s="54"/>
      <c r="K302" s="54"/>
      <c r="L302" s="54"/>
      <c r="M302" s="54"/>
      <c r="N302" s="54"/>
      <c r="O302" s="54"/>
      <c r="P302" s="54"/>
      <c r="Q302" s="54"/>
      <c r="R302" s="54"/>
      <c r="S302" s="54"/>
      <c r="T302" s="48">
        <f>SUBTOTAL(9,T266:T301)</f>
        <v>29233.250000000015</v>
      </c>
    </row>
    <row r="303" spans="1:20" s="31" customFormat="1" ht="12.75" x14ac:dyDescent="0.2">
      <c r="A303" s="25" t="s">
        <v>25</v>
      </c>
      <c r="B303" s="25"/>
      <c r="C303" s="25"/>
      <c r="D303" s="25"/>
      <c r="E303" s="25"/>
      <c r="F303" s="25"/>
      <c r="G303" s="25"/>
      <c r="H303" s="30"/>
    </row>
    <row r="304" spans="1:20" s="31" customFormat="1" ht="12.75" x14ac:dyDescent="0.2">
      <c r="A304" s="25" t="s">
        <v>25</v>
      </c>
      <c r="B304" s="25"/>
      <c r="C304" s="25"/>
      <c r="D304" s="25"/>
      <c r="E304" s="25"/>
      <c r="F304" s="25"/>
      <c r="G304" s="25"/>
      <c r="H304" s="30"/>
    </row>
    <row r="305" spans="1:20" s="31" customFormat="1" ht="12.75" x14ac:dyDescent="0.2">
      <c r="A305" s="25" t="s">
        <v>25</v>
      </c>
      <c r="B305" s="25"/>
      <c r="C305" s="25"/>
      <c r="D305" s="25"/>
      <c r="E305" s="25"/>
      <c r="F305" s="25" t="str">
        <f>"5021-0-6120-3460"</f>
        <v>5021-0-6120-3460</v>
      </c>
      <c r="G305" s="25" t="str">
        <f>"5021-0-6120-3460"</f>
        <v>5021-0-6120-3460</v>
      </c>
      <c r="H305" s="30"/>
      <c r="I305" s="40" t="str">
        <f>G305</f>
        <v>5021-0-6120-3460</v>
      </c>
      <c r="J305" s="40" t="str">
        <f>"Fringe Benefits - Retirement"</f>
        <v>Fringe Benefits - Retirement</v>
      </c>
      <c r="Q305" s="40"/>
      <c r="R305" s="41"/>
    </row>
    <row r="306" spans="1:20" s="31" customFormat="1" x14ac:dyDescent="0.25">
      <c r="A306" s="25" t="s">
        <v>25</v>
      </c>
      <c r="B306" s="42"/>
      <c r="C306" s="42"/>
      <c r="D306" s="25"/>
      <c r="E306" s="25"/>
      <c r="F306" s="42" t="e">
        <f>#REF!</f>
        <v>#REF!</v>
      </c>
      <c r="G306" s="42" t="e">
        <f>#REF!</f>
        <v>#REF!</v>
      </c>
      <c r="H306" s="43"/>
      <c r="K306" s="31" t="str">
        <f>"""GP"",""Ute Indian Tribe Membership Fund"",""aaa_contract_detail_sp"",""JRNENTRY"",""1570884"",""aaGLHdrID"",""1739017"",""aaGLDistID"",""20"",""aaGLAssignID"",""1"",""contract"",""3460 92 URHS FY2025"""</f>
        <v>"GP","Ute Indian Tribe Membership Fund","aaa_contract_detail_sp","JRNENTRY","1570884","aaGLHdrID","1739017","aaGLDistID","20","aaGLAssignID","1","contract","3460 92 URHS FY2025"</v>
      </c>
      <c r="L306" s="44">
        <v>45603</v>
      </c>
      <c r="M306" s="31">
        <v>1570884</v>
      </c>
      <c r="N306" s="31" t="str">
        <f>""</f>
        <v/>
      </c>
      <c r="O306" s="31" t="str">
        <f>""</f>
        <v/>
      </c>
      <c r="P306" s="31" t="str">
        <f>""</f>
        <v/>
      </c>
      <c r="Q306" s="45" t="str">
        <f>""</f>
        <v/>
      </c>
      <c r="R306" s="46">
        <v>229.57</v>
      </c>
      <c r="S306" s="46">
        <v>0</v>
      </c>
      <c r="T306" s="47">
        <f t="shared" ref="T306:T332" si="18">SUM(R306:S306)</f>
        <v>229.57</v>
      </c>
    </row>
    <row r="307" spans="1:20" s="31" customFormat="1" x14ac:dyDescent="0.25">
      <c r="A307" s="25" t="s">
        <v>25</v>
      </c>
      <c r="B307" s="42"/>
      <c r="C307" s="42"/>
      <c r="D307" s="25"/>
      <c r="E307" s="25"/>
      <c r="F307" s="42" t="e">
        <f t="shared" ref="F307:G332" si="19">F306</f>
        <v>#REF!</v>
      </c>
      <c r="G307" s="42" t="e">
        <f t="shared" si="19"/>
        <v>#REF!</v>
      </c>
      <c r="H307" s="43"/>
      <c r="K307" s="31" t="str">
        <f>"""GP"",""Ute Indian Tribe Membership Fund"",""aaa_contract_detail_sp"",""JRNENTRY"",""1570884"",""aaGLHdrID"",""1739017"",""aaGLDistID"",""21"",""aaGLAssignID"",""1"",""contract"",""3460 92 URHS FY2025"""</f>
        <v>"GP","Ute Indian Tribe Membership Fund","aaa_contract_detail_sp","JRNENTRY","1570884","aaGLHdrID","1739017","aaGLDistID","21","aaGLAssignID","1","contract","3460 92 URHS FY2025"</v>
      </c>
      <c r="L307" s="44">
        <v>45603</v>
      </c>
      <c r="M307" s="31">
        <v>1570884</v>
      </c>
      <c r="N307" s="31" t="str">
        <f>""</f>
        <v/>
      </c>
      <c r="O307" s="31" t="str">
        <f>""</f>
        <v/>
      </c>
      <c r="P307" s="31" t="str">
        <f>""</f>
        <v/>
      </c>
      <c r="Q307" s="45" t="str">
        <f>""</f>
        <v/>
      </c>
      <c r="R307" s="46">
        <v>114.78</v>
      </c>
      <c r="S307" s="46">
        <v>0</v>
      </c>
      <c r="T307" s="47">
        <f t="shared" si="18"/>
        <v>114.78</v>
      </c>
    </row>
    <row r="308" spans="1:20" s="31" customFormat="1" x14ac:dyDescent="0.25">
      <c r="A308" s="25" t="s">
        <v>25</v>
      </c>
      <c r="B308" s="42"/>
      <c r="C308" s="42"/>
      <c r="D308" s="25"/>
      <c r="E308" s="25"/>
      <c r="F308" s="42" t="e">
        <f t="shared" si="19"/>
        <v>#REF!</v>
      </c>
      <c r="G308" s="42" t="e">
        <f t="shared" si="19"/>
        <v>#REF!</v>
      </c>
      <c r="H308" s="43"/>
      <c r="K308" s="31" t="str">
        <f>"""GP"",""Ute Indian Tribe Membership Fund"",""aaa_contract_detail_sp"",""JRNENTRY"",""1570950"",""aaGLHdrID"",""1739083"",""aaGLDistID"",""20"",""aaGLAssignID"",""1"",""contract"",""3460 92 URHS FY2025"""</f>
        <v>"GP","Ute Indian Tribe Membership Fund","aaa_contract_detail_sp","JRNENTRY","1570950","aaGLHdrID","1739083","aaGLDistID","20","aaGLAssignID","1","contract","3460 92 URHS FY2025"</v>
      </c>
      <c r="L308" s="44">
        <v>45603</v>
      </c>
      <c r="M308" s="31">
        <v>1570950</v>
      </c>
      <c r="N308" s="31" t="str">
        <f>""</f>
        <v/>
      </c>
      <c r="O308" s="31" t="str">
        <f>""</f>
        <v/>
      </c>
      <c r="P308" s="31" t="str">
        <f>""</f>
        <v/>
      </c>
      <c r="Q308" s="45" t="str">
        <f>""</f>
        <v/>
      </c>
      <c r="R308" s="46">
        <v>285.18</v>
      </c>
      <c r="S308" s="46">
        <v>0</v>
      </c>
      <c r="T308" s="47">
        <f t="shared" si="18"/>
        <v>285.18</v>
      </c>
    </row>
    <row r="309" spans="1:20" s="31" customFormat="1" x14ac:dyDescent="0.25">
      <c r="A309" s="25" t="s">
        <v>25</v>
      </c>
      <c r="B309" s="42"/>
      <c r="C309" s="42"/>
      <c r="D309" s="25"/>
      <c r="E309" s="25"/>
      <c r="F309" s="42" t="e">
        <f t="shared" si="19"/>
        <v>#REF!</v>
      </c>
      <c r="G309" s="42" t="e">
        <f t="shared" si="19"/>
        <v>#REF!</v>
      </c>
      <c r="H309" s="43"/>
      <c r="K309" s="31" t="str">
        <f>"""GP"",""Ute Indian Tribe Membership Fund"",""aaa_contract_detail_sp"",""JRNENTRY"",""1570950"",""aaGLHdrID"",""1739083"",""aaGLDistID"",""21"",""aaGLAssignID"",""1"",""contract"",""3460 92 URHS FY2025"""</f>
        <v>"GP","Ute Indian Tribe Membership Fund","aaa_contract_detail_sp","JRNENTRY","1570950","aaGLHdrID","1739083","aaGLDistID","21","aaGLAssignID","1","contract","3460 92 URHS FY2025"</v>
      </c>
      <c r="L309" s="44">
        <v>45603</v>
      </c>
      <c r="M309" s="31">
        <v>1570950</v>
      </c>
      <c r="N309" s="31" t="str">
        <f>""</f>
        <v/>
      </c>
      <c r="O309" s="31" t="str">
        <f>""</f>
        <v/>
      </c>
      <c r="P309" s="31" t="str">
        <f>""</f>
        <v/>
      </c>
      <c r="Q309" s="45" t="str">
        <f>""</f>
        <v/>
      </c>
      <c r="R309" s="46">
        <v>142.59</v>
      </c>
      <c r="S309" s="46">
        <v>0</v>
      </c>
      <c r="T309" s="47">
        <f t="shared" si="18"/>
        <v>142.59</v>
      </c>
    </row>
    <row r="310" spans="1:20" s="31" customFormat="1" x14ac:dyDescent="0.25">
      <c r="A310" s="25" t="s">
        <v>25</v>
      </c>
      <c r="B310" s="42"/>
      <c r="C310" s="42"/>
      <c r="D310" s="25"/>
      <c r="E310" s="25"/>
      <c r="F310" s="42" t="e">
        <f t="shared" si="19"/>
        <v>#REF!</v>
      </c>
      <c r="G310" s="42" t="e">
        <f t="shared" si="19"/>
        <v>#REF!</v>
      </c>
      <c r="H310" s="43"/>
      <c r="K310" s="31" t="str">
        <f>"""GP"",""Ute Indian Tribe Membership Fund"",""aaa_contract_detail_sp"",""JRNENTRY"",""1570971"",""aaGLHdrID"",""1739104"",""aaGLDistID"",""23"",""aaGLAssignID"",""1"",""contract"",""3460 92 URHS FY2025"""</f>
        <v>"GP","Ute Indian Tribe Membership Fund","aaa_contract_detail_sp","JRNENTRY","1570971","aaGLHdrID","1739104","aaGLDistID","23","aaGLAssignID","1","contract","3460 92 URHS FY2025"</v>
      </c>
      <c r="L310" s="44">
        <v>45603</v>
      </c>
      <c r="M310" s="31">
        <v>1570971</v>
      </c>
      <c r="N310" s="31" t="str">
        <f>""</f>
        <v/>
      </c>
      <c r="O310" s="31" t="str">
        <f>""</f>
        <v/>
      </c>
      <c r="P310" s="31" t="str">
        <f>""</f>
        <v/>
      </c>
      <c r="Q310" s="45" t="str">
        <f>""</f>
        <v/>
      </c>
      <c r="R310" s="46">
        <v>304.43</v>
      </c>
      <c r="S310" s="46">
        <v>0</v>
      </c>
      <c r="T310" s="47">
        <f t="shared" si="18"/>
        <v>304.43</v>
      </c>
    </row>
    <row r="311" spans="1:20" s="31" customFormat="1" x14ac:dyDescent="0.25">
      <c r="A311" s="25" t="s">
        <v>25</v>
      </c>
      <c r="B311" s="42"/>
      <c r="C311" s="42"/>
      <c r="D311" s="25"/>
      <c r="E311" s="25"/>
      <c r="F311" s="42" t="e">
        <f t="shared" si="19"/>
        <v>#REF!</v>
      </c>
      <c r="G311" s="42" t="e">
        <f t="shared" si="19"/>
        <v>#REF!</v>
      </c>
      <c r="H311" s="43"/>
      <c r="K311" s="31" t="str">
        <f>"""GP"",""Ute Indian Tribe Membership Fund"",""aaa_contract_detail_sp"",""JRNENTRY"",""1571043"",""aaGLHdrID"",""1739176"",""aaGLDistID"",""17"",""aaGLAssignID"",""1"",""contract"",""3460 92 URHS FY2025"""</f>
        <v>"GP","Ute Indian Tribe Membership Fund","aaa_contract_detail_sp","JRNENTRY","1571043","aaGLHdrID","1739176","aaGLDistID","17","aaGLAssignID","1","contract","3460 92 URHS FY2025"</v>
      </c>
      <c r="L311" s="44">
        <v>45603</v>
      </c>
      <c r="M311" s="31">
        <v>1571043</v>
      </c>
      <c r="N311" s="31" t="str">
        <f>""</f>
        <v/>
      </c>
      <c r="O311" s="31" t="str">
        <f>""</f>
        <v/>
      </c>
      <c r="P311" s="31" t="str">
        <f>""</f>
        <v/>
      </c>
      <c r="Q311" s="45" t="str">
        <f>""</f>
        <v/>
      </c>
      <c r="R311" s="46">
        <v>257.47000000000003</v>
      </c>
      <c r="S311" s="46">
        <v>0</v>
      </c>
      <c r="T311" s="47">
        <f t="shared" si="18"/>
        <v>257.47000000000003</v>
      </c>
    </row>
    <row r="312" spans="1:20" s="31" customFormat="1" x14ac:dyDescent="0.25">
      <c r="A312" s="25" t="s">
        <v>25</v>
      </c>
      <c r="B312" s="42"/>
      <c r="C312" s="42"/>
      <c r="D312" s="25"/>
      <c r="E312" s="25"/>
      <c r="F312" s="42" t="e">
        <f t="shared" si="19"/>
        <v>#REF!</v>
      </c>
      <c r="G312" s="42" t="e">
        <f t="shared" si="19"/>
        <v>#REF!</v>
      </c>
      <c r="H312" s="43"/>
      <c r="K312" s="31" t="str">
        <f>"""GP"",""Ute Indian Tribe Membership Fund"",""aaa_contract_detail_sp"",""JRNENTRY"",""1571044"",""aaGLHdrID"",""1739177"",""aaGLDistID"",""20"",""aaGLAssignID"",""1"",""contract"",""3460 92 URHS FY2025"""</f>
        <v>"GP","Ute Indian Tribe Membership Fund","aaa_contract_detail_sp","JRNENTRY","1571044","aaGLHdrID","1739177","aaGLDistID","20","aaGLAssignID","1","contract","3460 92 URHS FY2025"</v>
      </c>
      <c r="L312" s="44">
        <v>45603</v>
      </c>
      <c r="M312" s="31">
        <v>1571044</v>
      </c>
      <c r="N312" s="31" t="str">
        <f>""</f>
        <v/>
      </c>
      <c r="O312" s="31" t="str">
        <f>""</f>
        <v/>
      </c>
      <c r="P312" s="31" t="str">
        <f>""</f>
        <v/>
      </c>
      <c r="Q312" s="45" t="str">
        <f>""</f>
        <v/>
      </c>
      <c r="R312" s="46">
        <v>166.08</v>
      </c>
      <c r="S312" s="46">
        <v>0</v>
      </c>
      <c r="T312" s="47">
        <f t="shared" si="18"/>
        <v>166.08</v>
      </c>
    </row>
    <row r="313" spans="1:20" s="31" customFormat="1" x14ac:dyDescent="0.25">
      <c r="A313" s="25" t="s">
        <v>25</v>
      </c>
      <c r="B313" s="42"/>
      <c r="C313" s="42"/>
      <c r="D313" s="25"/>
      <c r="E313" s="25"/>
      <c r="F313" s="42" t="e">
        <f t="shared" si="19"/>
        <v>#REF!</v>
      </c>
      <c r="G313" s="42" t="e">
        <f t="shared" si="19"/>
        <v>#REF!</v>
      </c>
      <c r="H313" s="43"/>
      <c r="K313" s="31" t="str">
        <f>"""GP"",""Ute Indian Tribe Membership Fund"",""aaa_contract_detail_sp"",""JRNENTRY"",""1571044"",""aaGLHdrID"",""1739177"",""aaGLDistID"",""21"",""aaGLAssignID"",""1"",""contract"",""3460 92 URHS FY2025"""</f>
        <v>"GP","Ute Indian Tribe Membership Fund","aaa_contract_detail_sp","JRNENTRY","1571044","aaGLHdrID","1739177","aaGLDistID","21","aaGLAssignID","1","contract","3460 92 URHS FY2025"</v>
      </c>
      <c r="L313" s="44">
        <v>45603</v>
      </c>
      <c r="M313" s="31">
        <v>1571044</v>
      </c>
      <c r="N313" s="31" t="str">
        <f>""</f>
        <v/>
      </c>
      <c r="O313" s="31" t="str">
        <f>""</f>
        <v/>
      </c>
      <c r="P313" s="31" t="str">
        <f>""</f>
        <v/>
      </c>
      <c r="Q313" s="45" t="str">
        <f>""</f>
        <v/>
      </c>
      <c r="R313" s="46">
        <v>332.16</v>
      </c>
      <c r="S313" s="46">
        <v>0</v>
      </c>
      <c r="T313" s="47">
        <f t="shared" si="18"/>
        <v>332.16</v>
      </c>
    </row>
    <row r="314" spans="1:20" s="31" customFormat="1" x14ac:dyDescent="0.25">
      <c r="A314" s="25" t="s">
        <v>25</v>
      </c>
      <c r="B314" s="42"/>
      <c r="C314" s="42"/>
      <c r="D314" s="25"/>
      <c r="E314" s="25"/>
      <c r="F314" s="42" t="e">
        <f t="shared" si="19"/>
        <v>#REF!</v>
      </c>
      <c r="G314" s="42" t="e">
        <f t="shared" si="19"/>
        <v>#REF!</v>
      </c>
      <c r="H314" s="43"/>
      <c r="K314" s="31" t="str">
        <f>"""GP"",""Ute Indian Tribe Membership Fund"",""aaa_contract_detail_sp"",""JRNENTRY"",""1571049"",""aaGLHdrID"",""1739182"",""aaGLDistID"",""22"",""aaGLAssignID"",""1"",""contract"",""3460 92 URHS FY2025"""</f>
        <v>"GP","Ute Indian Tribe Membership Fund","aaa_contract_detail_sp","JRNENTRY","1571049","aaGLHdrID","1739182","aaGLDistID","22","aaGLAssignID","1","contract","3460 92 URHS FY2025"</v>
      </c>
      <c r="L314" s="44">
        <v>45603</v>
      </c>
      <c r="M314" s="31">
        <v>1571049</v>
      </c>
      <c r="N314" s="31" t="str">
        <f>""</f>
        <v/>
      </c>
      <c r="O314" s="31" t="str">
        <f>""</f>
        <v/>
      </c>
      <c r="P314" s="31" t="str">
        <f>""</f>
        <v/>
      </c>
      <c r="Q314" s="45" t="str">
        <f>""</f>
        <v/>
      </c>
      <c r="R314" s="46">
        <v>197.68</v>
      </c>
      <c r="S314" s="46">
        <v>0</v>
      </c>
      <c r="T314" s="47">
        <f t="shared" si="18"/>
        <v>197.68</v>
      </c>
    </row>
    <row r="315" spans="1:20" s="31" customFormat="1" x14ac:dyDescent="0.25">
      <c r="A315" s="25" t="s">
        <v>25</v>
      </c>
      <c r="B315" s="42"/>
      <c r="C315" s="42"/>
      <c r="D315" s="25"/>
      <c r="E315" s="25"/>
      <c r="F315" s="42" t="e">
        <f t="shared" si="19"/>
        <v>#REF!</v>
      </c>
      <c r="G315" s="42" t="e">
        <f t="shared" si="19"/>
        <v>#REF!</v>
      </c>
      <c r="H315" s="43"/>
      <c r="K315" s="31" t="str">
        <f>"""GP"",""Ute Indian Tribe Membership Fund"",""aaa_contract_detail_sp"",""JRNENTRY"",""1571049"",""aaGLHdrID"",""1739182"",""aaGLDistID"",""23"",""aaGLAssignID"",""1"",""contract"",""3460 92 URHS FY2025"""</f>
        <v>"GP","Ute Indian Tribe Membership Fund","aaa_contract_detail_sp","JRNENTRY","1571049","aaGLHdrID","1739182","aaGLDistID","23","aaGLAssignID","1","contract","3460 92 URHS FY2025"</v>
      </c>
      <c r="L315" s="44">
        <v>45603</v>
      </c>
      <c r="M315" s="31">
        <v>1571049</v>
      </c>
      <c r="N315" s="31" t="str">
        <f>""</f>
        <v/>
      </c>
      <c r="O315" s="31" t="str">
        <f>""</f>
        <v/>
      </c>
      <c r="P315" s="31" t="str">
        <f>""</f>
        <v/>
      </c>
      <c r="Q315" s="45" t="str">
        <f>""</f>
        <v/>
      </c>
      <c r="R315" s="46">
        <v>395.35</v>
      </c>
      <c r="S315" s="46">
        <v>0</v>
      </c>
      <c r="T315" s="47">
        <f t="shared" si="18"/>
        <v>395.35</v>
      </c>
    </row>
    <row r="316" spans="1:20" s="31" customFormat="1" x14ac:dyDescent="0.25">
      <c r="A316" s="25" t="s">
        <v>25</v>
      </c>
      <c r="B316" s="42"/>
      <c r="C316" s="42"/>
      <c r="D316" s="25"/>
      <c r="E316" s="25"/>
      <c r="F316" s="42" t="e">
        <f t="shared" si="19"/>
        <v>#REF!</v>
      </c>
      <c r="G316" s="42" t="e">
        <f t="shared" si="19"/>
        <v>#REF!</v>
      </c>
      <c r="H316" s="43"/>
      <c r="K316" s="31" t="str">
        <f>"""GP"",""Ute Indian Tribe Membership Fund"",""aaa_contract_detail_sp"",""JRNENTRY"",""1571082"",""aaGLHdrID"",""1739215"",""aaGLDistID"",""21"",""aaGLAssignID"",""1"",""contract"",""3460 92 URHS FY2025"""</f>
        <v>"GP","Ute Indian Tribe Membership Fund","aaa_contract_detail_sp","JRNENTRY","1571082","aaGLHdrID","1739215","aaGLDistID","21","aaGLAssignID","1","contract","3460 92 URHS FY2025"</v>
      </c>
      <c r="L316" s="44">
        <v>45603</v>
      </c>
      <c r="M316" s="31">
        <v>1571082</v>
      </c>
      <c r="N316" s="31" t="str">
        <f>""</f>
        <v/>
      </c>
      <c r="O316" s="31" t="str">
        <f>""</f>
        <v/>
      </c>
      <c r="P316" s="31" t="str">
        <f>""</f>
        <v/>
      </c>
      <c r="Q316" s="45" t="str">
        <f>""</f>
        <v/>
      </c>
      <c r="R316" s="46">
        <v>244.16</v>
      </c>
      <c r="S316" s="46">
        <v>0</v>
      </c>
      <c r="T316" s="47">
        <f t="shared" si="18"/>
        <v>244.16</v>
      </c>
    </row>
    <row r="317" spans="1:20" s="31" customFormat="1" x14ac:dyDescent="0.25">
      <c r="A317" s="25" t="s">
        <v>25</v>
      </c>
      <c r="B317" s="42"/>
      <c r="C317" s="42"/>
      <c r="D317" s="25"/>
      <c r="E317" s="25"/>
      <c r="F317" s="42" t="e">
        <f t="shared" si="19"/>
        <v>#REF!</v>
      </c>
      <c r="G317" s="42" t="e">
        <f t="shared" si="19"/>
        <v>#REF!</v>
      </c>
      <c r="H317" s="43"/>
      <c r="K317" s="31" t="str">
        <f>"""GP"",""Ute Indian Tribe Membership Fund"",""aaa_contract_detail_sp"",""JRNENTRY"",""1571090"",""aaGLHdrID"",""1739223"",""aaGLDistID"",""19"",""aaGLAssignID"",""1"",""contract"",""3460 92 URHS FY2025"""</f>
        <v>"GP","Ute Indian Tribe Membership Fund","aaa_contract_detail_sp","JRNENTRY","1571090","aaGLHdrID","1739223","aaGLDistID","19","aaGLAssignID","1","contract","3460 92 URHS FY2025"</v>
      </c>
      <c r="L317" s="44">
        <v>45603</v>
      </c>
      <c r="M317" s="31">
        <v>1571090</v>
      </c>
      <c r="N317" s="31" t="str">
        <f>""</f>
        <v/>
      </c>
      <c r="O317" s="31" t="str">
        <f>""</f>
        <v/>
      </c>
      <c r="P317" s="31" t="str">
        <f>""</f>
        <v/>
      </c>
      <c r="Q317" s="45" t="str">
        <f>""</f>
        <v/>
      </c>
      <c r="R317" s="46">
        <v>264.89999999999998</v>
      </c>
      <c r="S317" s="46">
        <v>0</v>
      </c>
      <c r="T317" s="47">
        <f t="shared" si="18"/>
        <v>264.89999999999998</v>
      </c>
    </row>
    <row r="318" spans="1:20" s="31" customFormat="1" x14ac:dyDescent="0.25">
      <c r="A318" s="25" t="s">
        <v>25</v>
      </c>
      <c r="B318" s="42"/>
      <c r="C318" s="42"/>
      <c r="D318" s="25"/>
      <c r="E318" s="25"/>
      <c r="F318" s="42" t="e">
        <f t="shared" si="19"/>
        <v>#REF!</v>
      </c>
      <c r="G318" s="42" t="e">
        <f t="shared" si="19"/>
        <v>#REF!</v>
      </c>
      <c r="H318" s="43"/>
      <c r="K318" s="31" t="str">
        <f>"""GP"",""Ute Indian Tribe Membership Fund"",""aaa_contract_detail_sp"",""JRNENTRY"",""1571091"",""aaGLHdrID"",""1739224"",""aaGLDistID"",""17"",""aaGLAssignID"",""1"",""contract"",""3460 92 URHS FY2025"""</f>
        <v>"GP","Ute Indian Tribe Membership Fund","aaa_contract_detail_sp","JRNENTRY","1571091","aaGLHdrID","1739224","aaGLDistID","17","aaGLAssignID","1","contract","3460 92 URHS FY2025"</v>
      </c>
      <c r="L318" s="44">
        <v>45603</v>
      </c>
      <c r="M318" s="31">
        <v>1571091</v>
      </c>
      <c r="N318" s="31" t="str">
        <f>""</f>
        <v/>
      </c>
      <c r="O318" s="31" t="str">
        <f>""</f>
        <v/>
      </c>
      <c r="P318" s="31" t="str">
        <f>""</f>
        <v/>
      </c>
      <c r="Q318" s="45" t="str">
        <f>""</f>
        <v/>
      </c>
      <c r="R318" s="46">
        <v>294.79000000000002</v>
      </c>
      <c r="S318" s="46">
        <v>0</v>
      </c>
      <c r="T318" s="47">
        <f t="shared" si="18"/>
        <v>294.79000000000002</v>
      </c>
    </row>
    <row r="319" spans="1:20" s="31" customFormat="1" x14ac:dyDescent="0.25">
      <c r="A319" s="25" t="s">
        <v>25</v>
      </c>
      <c r="B319" s="42"/>
      <c r="C319" s="42"/>
      <c r="D319" s="25"/>
      <c r="E319" s="25"/>
      <c r="F319" s="42" t="e">
        <f t="shared" si="19"/>
        <v>#REF!</v>
      </c>
      <c r="G319" s="42" t="e">
        <f t="shared" si="19"/>
        <v>#REF!</v>
      </c>
      <c r="H319" s="43"/>
      <c r="K319" s="31" t="str">
        <f>"""GP"",""Ute Indian Tribe Membership Fund"",""aaa_contract_detail_sp"",""JRNENTRY"",""1571091"",""aaGLHdrID"",""1739224"",""aaGLDistID"",""18"",""aaGLAssignID"",""1"",""contract"",""3460 92 URHS FY2025"""</f>
        <v>"GP","Ute Indian Tribe Membership Fund","aaa_contract_detail_sp","JRNENTRY","1571091","aaGLHdrID","1739224","aaGLDistID","18","aaGLAssignID","1","contract","3460 92 URHS FY2025"</v>
      </c>
      <c r="L319" s="44">
        <v>45603</v>
      </c>
      <c r="M319" s="31">
        <v>1571091</v>
      </c>
      <c r="N319" s="31" t="str">
        <f>""</f>
        <v/>
      </c>
      <c r="O319" s="31" t="str">
        <f>""</f>
        <v/>
      </c>
      <c r="P319" s="31" t="str">
        <f>""</f>
        <v/>
      </c>
      <c r="Q319" s="45" t="str">
        <f>""</f>
        <v/>
      </c>
      <c r="R319" s="46">
        <v>147.4</v>
      </c>
      <c r="S319" s="46">
        <v>0</v>
      </c>
      <c r="T319" s="47">
        <f t="shared" si="18"/>
        <v>147.4</v>
      </c>
    </row>
    <row r="320" spans="1:20" s="31" customFormat="1" x14ac:dyDescent="0.25">
      <c r="A320" s="25" t="s">
        <v>25</v>
      </c>
      <c r="B320" s="42"/>
      <c r="C320" s="42"/>
      <c r="D320" s="25"/>
      <c r="E320" s="25"/>
      <c r="F320" s="42" t="e">
        <f t="shared" si="19"/>
        <v>#REF!</v>
      </c>
      <c r="G320" s="42" t="e">
        <f t="shared" si="19"/>
        <v>#REF!</v>
      </c>
      <c r="H320" s="43"/>
      <c r="K320" s="31" t="str">
        <f>"""GP"",""Ute Indian Tribe Membership Fund"",""aaa_contract_detail_sp"",""JRNENTRY"",""1571185"",""aaGLHdrID"",""1739318"",""aaGLDistID"",""16"",""aaGLAssignID"",""1"",""contract"",""3460 92 URHS FY2025"""</f>
        <v>"GP","Ute Indian Tribe Membership Fund","aaa_contract_detail_sp","JRNENTRY","1571185","aaGLHdrID","1739318","aaGLDistID","16","aaGLAssignID","1","contract","3460 92 URHS FY2025"</v>
      </c>
      <c r="L320" s="44">
        <v>45603</v>
      </c>
      <c r="M320" s="31">
        <v>1571185</v>
      </c>
      <c r="N320" s="31" t="str">
        <f>""</f>
        <v/>
      </c>
      <c r="O320" s="31" t="str">
        <f>""</f>
        <v/>
      </c>
      <c r="P320" s="31" t="str">
        <f>""</f>
        <v/>
      </c>
      <c r="Q320" s="45" t="str">
        <f>""</f>
        <v/>
      </c>
      <c r="R320" s="46">
        <v>125.44</v>
      </c>
      <c r="S320" s="46">
        <v>0</v>
      </c>
      <c r="T320" s="47">
        <f t="shared" si="18"/>
        <v>125.44</v>
      </c>
    </row>
    <row r="321" spans="1:20" s="31" customFormat="1" x14ac:dyDescent="0.25">
      <c r="A321" s="25" t="s">
        <v>25</v>
      </c>
      <c r="B321" s="42"/>
      <c r="C321" s="42"/>
      <c r="D321" s="25"/>
      <c r="E321" s="25"/>
      <c r="F321" s="42" t="e">
        <f t="shared" si="19"/>
        <v>#REF!</v>
      </c>
      <c r="G321" s="42" t="e">
        <f t="shared" si="19"/>
        <v>#REF!</v>
      </c>
      <c r="H321" s="43"/>
      <c r="K321" s="31" t="str">
        <f>"""GP"",""Ute Indian Tribe Membership Fund"",""aaa_contract_detail_sp"",""JRNENTRY"",""1571270"",""aaGLHdrID"",""1739403"",""aaGLDistID"",""20"",""aaGLAssignID"",""1"",""contract"",""3460 92 URHS FY2025"""</f>
        <v>"GP","Ute Indian Tribe Membership Fund","aaa_contract_detail_sp","JRNENTRY","1571270","aaGLHdrID","1739403","aaGLDistID","20","aaGLAssignID","1","contract","3460 92 URHS FY2025"</v>
      </c>
      <c r="L321" s="44">
        <v>45603</v>
      </c>
      <c r="M321" s="31">
        <v>1571270</v>
      </c>
      <c r="N321" s="31" t="str">
        <f>""</f>
        <v/>
      </c>
      <c r="O321" s="31" t="str">
        <f>""</f>
        <v/>
      </c>
      <c r="P321" s="31" t="str">
        <f>""</f>
        <v/>
      </c>
      <c r="Q321" s="45" t="str">
        <f>""</f>
        <v/>
      </c>
      <c r="R321" s="46">
        <v>78.53</v>
      </c>
      <c r="S321" s="46">
        <v>0</v>
      </c>
      <c r="T321" s="47">
        <f t="shared" si="18"/>
        <v>78.53</v>
      </c>
    </row>
    <row r="322" spans="1:20" s="31" customFormat="1" x14ac:dyDescent="0.25">
      <c r="A322" s="25" t="s">
        <v>25</v>
      </c>
      <c r="B322" s="42"/>
      <c r="C322" s="42"/>
      <c r="D322" s="25"/>
      <c r="E322" s="25"/>
      <c r="F322" s="42" t="e">
        <f t="shared" si="19"/>
        <v>#REF!</v>
      </c>
      <c r="G322" s="42" t="e">
        <f t="shared" si="19"/>
        <v>#REF!</v>
      </c>
      <c r="H322" s="43"/>
      <c r="K322" s="31" t="str">
        <f>"""GP"",""Ute Indian Tribe Membership Fund"",""aaa_contract_detail_sp"",""JRNENTRY"",""1574460"",""aaGLHdrID"",""1742186"",""aaGLDistID"",""19"",""aaGLAssignID"",""1"",""contract"",""3460 92 URHS FY2025"""</f>
        <v>"GP","Ute Indian Tribe Membership Fund","aaa_contract_detail_sp","JRNENTRY","1574460","aaGLHdrID","1742186","aaGLDistID","19","aaGLAssignID","1","contract","3460 92 URHS FY2025"</v>
      </c>
      <c r="L322" s="44">
        <v>45617</v>
      </c>
      <c r="M322" s="31">
        <v>1574460</v>
      </c>
      <c r="N322" s="31" t="str">
        <f>""</f>
        <v/>
      </c>
      <c r="O322" s="31" t="str">
        <f>""</f>
        <v/>
      </c>
      <c r="P322" s="31" t="str">
        <f>""</f>
        <v/>
      </c>
      <c r="Q322" s="45" t="str">
        <f>""</f>
        <v/>
      </c>
      <c r="R322" s="46">
        <v>229.57</v>
      </c>
      <c r="S322" s="46">
        <v>0</v>
      </c>
      <c r="T322" s="47">
        <f t="shared" si="18"/>
        <v>229.57</v>
      </c>
    </row>
    <row r="323" spans="1:20" s="31" customFormat="1" x14ac:dyDescent="0.25">
      <c r="A323" s="25" t="s">
        <v>25</v>
      </c>
      <c r="B323" s="42"/>
      <c r="C323" s="42"/>
      <c r="D323" s="25"/>
      <c r="E323" s="25"/>
      <c r="F323" s="42" t="e">
        <f t="shared" si="19"/>
        <v>#REF!</v>
      </c>
      <c r="G323" s="42" t="e">
        <f t="shared" si="19"/>
        <v>#REF!</v>
      </c>
      <c r="H323" s="43"/>
      <c r="K323" s="31" t="str">
        <f>"""GP"",""Ute Indian Tribe Membership Fund"",""aaa_contract_detail_sp"",""JRNENTRY"",""1574460"",""aaGLHdrID"",""1742186"",""aaGLDistID"",""20"",""aaGLAssignID"",""1"",""contract"",""3460 92 URHS FY2025"""</f>
        <v>"GP","Ute Indian Tribe Membership Fund","aaa_contract_detail_sp","JRNENTRY","1574460","aaGLHdrID","1742186","aaGLDistID","20","aaGLAssignID","1","contract","3460 92 URHS FY2025"</v>
      </c>
      <c r="L323" s="44">
        <v>45617</v>
      </c>
      <c r="M323" s="31">
        <v>1574460</v>
      </c>
      <c r="N323" s="31" t="str">
        <f>""</f>
        <v/>
      </c>
      <c r="O323" s="31" t="str">
        <f>""</f>
        <v/>
      </c>
      <c r="P323" s="31" t="str">
        <f>""</f>
        <v/>
      </c>
      <c r="Q323" s="45" t="str">
        <f>""</f>
        <v/>
      </c>
      <c r="R323" s="46">
        <v>114.78</v>
      </c>
      <c r="S323" s="46">
        <v>0</v>
      </c>
      <c r="T323" s="47">
        <f t="shared" si="18"/>
        <v>114.78</v>
      </c>
    </row>
    <row r="324" spans="1:20" s="31" customFormat="1" x14ac:dyDescent="0.25">
      <c r="A324" s="25" t="s">
        <v>25</v>
      </c>
      <c r="B324" s="42"/>
      <c r="C324" s="42"/>
      <c r="D324" s="25"/>
      <c r="E324" s="25"/>
      <c r="F324" s="42" t="e">
        <f t="shared" si="19"/>
        <v>#REF!</v>
      </c>
      <c r="G324" s="42" t="e">
        <f t="shared" si="19"/>
        <v>#REF!</v>
      </c>
      <c r="H324" s="43"/>
      <c r="K324" s="31" t="str">
        <f>"""GP"",""Ute Indian Tribe Membership Fund"",""aaa_contract_detail_sp"",""JRNENTRY"",""1574530"",""aaGLHdrID"",""1742256"",""aaGLDistID"",""21"",""aaGLAssignID"",""1"",""contract"",""3460 92 URHS FY2025"""</f>
        <v>"GP","Ute Indian Tribe Membership Fund","aaa_contract_detail_sp","JRNENTRY","1574530","aaGLHdrID","1742256","aaGLDistID","21","aaGLAssignID","1","contract","3460 92 URHS FY2025"</v>
      </c>
      <c r="L324" s="44">
        <v>45617</v>
      </c>
      <c r="M324" s="31">
        <v>1574530</v>
      </c>
      <c r="N324" s="31" t="str">
        <f>""</f>
        <v/>
      </c>
      <c r="O324" s="31" t="str">
        <f>""</f>
        <v/>
      </c>
      <c r="P324" s="31" t="str">
        <f>""</f>
        <v/>
      </c>
      <c r="Q324" s="45" t="str">
        <f>""</f>
        <v/>
      </c>
      <c r="R324" s="46">
        <v>393.84</v>
      </c>
      <c r="S324" s="46">
        <v>0</v>
      </c>
      <c r="T324" s="47">
        <f t="shared" si="18"/>
        <v>393.84</v>
      </c>
    </row>
    <row r="325" spans="1:20" s="31" customFormat="1" x14ac:dyDescent="0.25">
      <c r="A325" s="25" t="s">
        <v>25</v>
      </c>
      <c r="B325" s="42"/>
      <c r="C325" s="42"/>
      <c r="D325" s="25"/>
      <c r="E325" s="25"/>
      <c r="F325" s="42" t="e">
        <f t="shared" si="19"/>
        <v>#REF!</v>
      </c>
      <c r="G325" s="42" t="e">
        <f t="shared" si="19"/>
        <v>#REF!</v>
      </c>
      <c r="H325" s="43"/>
      <c r="K325" s="31" t="str">
        <f>"""GP"",""Ute Indian Tribe Membership Fund"",""aaa_contract_detail_sp"",""JRNENTRY"",""1574530"",""aaGLHdrID"",""1742256"",""aaGLDistID"",""22"",""aaGLAssignID"",""1"",""contract"",""3460 92 URHS FY2025"""</f>
        <v>"GP","Ute Indian Tribe Membership Fund","aaa_contract_detail_sp","JRNENTRY","1574530","aaGLHdrID","1742256","aaGLDistID","22","aaGLAssignID","1","contract","3460 92 URHS FY2025"</v>
      </c>
      <c r="L325" s="44">
        <v>45617</v>
      </c>
      <c r="M325" s="31">
        <v>1574530</v>
      </c>
      <c r="N325" s="31" t="str">
        <f>""</f>
        <v/>
      </c>
      <c r="O325" s="31" t="str">
        <f>""</f>
        <v/>
      </c>
      <c r="P325" s="31" t="str">
        <f>""</f>
        <v/>
      </c>
      <c r="Q325" s="45" t="str">
        <f>""</f>
        <v/>
      </c>
      <c r="R325" s="46">
        <v>196.92</v>
      </c>
      <c r="S325" s="46">
        <v>0</v>
      </c>
      <c r="T325" s="47">
        <f t="shared" si="18"/>
        <v>196.92</v>
      </c>
    </row>
    <row r="326" spans="1:20" s="31" customFormat="1" x14ac:dyDescent="0.25">
      <c r="A326" s="25" t="s">
        <v>25</v>
      </c>
      <c r="B326" s="42"/>
      <c r="C326" s="42"/>
      <c r="D326" s="25"/>
      <c r="E326" s="25"/>
      <c r="F326" s="42" t="e">
        <f t="shared" si="19"/>
        <v>#REF!</v>
      </c>
      <c r="G326" s="42" t="e">
        <f t="shared" si="19"/>
        <v>#REF!</v>
      </c>
      <c r="H326" s="43"/>
      <c r="K326" s="31" t="str">
        <f>"""GP"",""Ute Indian Tribe Membership Fund"",""aaa_contract_detail_sp"",""JRNENTRY"",""1574551"",""aaGLHdrID"",""1742277"",""aaGLDistID"",""22"",""aaGLAssignID"",""1"",""contract"",""3460 92 URHS FY2025"""</f>
        <v>"GP","Ute Indian Tribe Membership Fund","aaa_contract_detail_sp","JRNENTRY","1574551","aaGLHdrID","1742277","aaGLDistID","22","aaGLAssignID","1","contract","3460 92 URHS FY2025"</v>
      </c>
      <c r="L326" s="44">
        <v>45617</v>
      </c>
      <c r="M326" s="31">
        <v>1574551</v>
      </c>
      <c r="N326" s="31" t="str">
        <f>""</f>
        <v/>
      </c>
      <c r="O326" s="31" t="str">
        <f>""</f>
        <v/>
      </c>
      <c r="P326" s="31" t="str">
        <f>""</f>
        <v/>
      </c>
      <c r="Q326" s="45" t="str">
        <f>""</f>
        <v/>
      </c>
      <c r="R326" s="46">
        <v>271.55</v>
      </c>
      <c r="S326" s="46">
        <v>0</v>
      </c>
      <c r="T326" s="47">
        <f t="shared" si="18"/>
        <v>271.55</v>
      </c>
    </row>
    <row r="327" spans="1:20" s="31" customFormat="1" x14ac:dyDescent="0.25">
      <c r="A327" s="25" t="s">
        <v>25</v>
      </c>
      <c r="B327" s="42"/>
      <c r="C327" s="42"/>
      <c r="D327" s="25"/>
      <c r="E327" s="25"/>
      <c r="F327" s="42" t="e">
        <f t="shared" si="19"/>
        <v>#REF!</v>
      </c>
      <c r="G327" s="42" t="e">
        <f t="shared" si="19"/>
        <v>#REF!</v>
      </c>
      <c r="H327" s="43"/>
      <c r="K327" s="31" t="str">
        <f>"""GP"",""Ute Indian Tribe Membership Fund"",""aaa_contract_detail_sp"",""JRNENTRY"",""1574622"",""aaGLHdrID"",""1742348"",""aaGLDistID"",""17"",""aaGLAssignID"",""1"",""contract"",""3460 92 URHS FY2025"""</f>
        <v>"GP","Ute Indian Tribe Membership Fund","aaa_contract_detail_sp","JRNENTRY","1574622","aaGLHdrID","1742348","aaGLDistID","17","aaGLAssignID","1","contract","3460 92 URHS FY2025"</v>
      </c>
      <c r="L327" s="44">
        <v>45617</v>
      </c>
      <c r="M327" s="31">
        <v>1574622</v>
      </c>
      <c r="N327" s="31" t="str">
        <f>""</f>
        <v/>
      </c>
      <c r="O327" s="31" t="str">
        <f>""</f>
        <v/>
      </c>
      <c r="P327" s="31" t="str">
        <f>""</f>
        <v/>
      </c>
      <c r="Q327" s="45" t="str">
        <f>""</f>
        <v/>
      </c>
      <c r="R327" s="46">
        <v>257.47000000000003</v>
      </c>
      <c r="S327" s="46">
        <v>0</v>
      </c>
      <c r="T327" s="47">
        <f t="shared" si="18"/>
        <v>257.47000000000003</v>
      </c>
    </row>
    <row r="328" spans="1:20" s="31" customFormat="1" x14ac:dyDescent="0.25">
      <c r="A328" s="25" t="s">
        <v>25</v>
      </c>
      <c r="B328" s="42"/>
      <c r="C328" s="42"/>
      <c r="D328" s="25"/>
      <c r="E328" s="25"/>
      <c r="F328" s="42" t="e">
        <f t="shared" si="19"/>
        <v>#REF!</v>
      </c>
      <c r="G328" s="42" t="e">
        <f t="shared" si="19"/>
        <v>#REF!</v>
      </c>
      <c r="H328" s="43"/>
      <c r="K328" s="31" t="str">
        <f>"""GP"",""Ute Indian Tribe Membership Fund"",""aaa_contract_detail_sp"",""JRNENTRY"",""1574623"",""aaGLHdrID"",""1742349"",""aaGLDistID"",""20"",""aaGLAssignID"",""1"",""contract"",""3460 92 URHS FY2025"""</f>
        <v>"GP","Ute Indian Tribe Membership Fund","aaa_contract_detail_sp","JRNENTRY","1574623","aaGLHdrID","1742349","aaGLDistID","20","aaGLAssignID","1","contract","3460 92 URHS FY2025"</v>
      </c>
      <c r="L328" s="44">
        <v>45617</v>
      </c>
      <c r="M328" s="31">
        <v>1574623</v>
      </c>
      <c r="N328" s="31" t="str">
        <f>""</f>
        <v/>
      </c>
      <c r="O328" s="31" t="str">
        <f>""</f>
        <v/>
      </c>
      <c r="P328" s="31" t="str">
        <f>""</f>
        <v/>
      </c>
      <c r="Q328" s="45" t="str">
        <f>""</f>
        <v/>
      </c>
      <c r="R328" s="46">
        <v>132.96</v>
      </c>
      <c r="S328" s="46">
        <v>0</v>
      </c>
      <c r="T328" s="47">
        <f t="shared" si="18"/>
        <v>132.96</v>
      </c>
    </row>
    <row r="329" spans="1:20" s="31" customFormat="1" x14ac:dyDescent="0.25">
      <c r="A329" s="25" t="s">
        <v>25</v>
      </c>
      <c r="B329" s="42"/>
      <c r="C329" s="42"/>
      <c r="D329" s="25"/>
      <c r="E329" s="25"/>
      <c r="F329" s="42" t="e">
        <f t="shared" si="19"/>
        <v>#REF!</v>
      </c>
      <c r="G329" s="42" t="e">
        <f t="shared" si="19"/>
        <v>#REF!</v>
      </c>
      <c r="H329" s="43"/>
      <c r="K329" s="31" t="str">
        <f>"""GP"",""Ute Indian Tribe Membership Fund"",""aaa_contract_detail_sp"",""JRNENTRY"",""1574623"",""aaGLHdrID"",""1742349"",""aaGLDistID"",""21"",""aaGLAssignID"",""1"",""contract"",""3460 92 URHS FY2025"""</f>
        <v>"GP","Ute Indian Tribe Membership Fund","aaa_contract_detail_sp","JRNENTRY","1574623","aaGLHdrID","1742349","aaGLDistID","21","aaGLAssignID","1","contract","3460 92 URHS FY2025"</v>
      </c>
      <c r="L329" s="44">
        <v>45617</v>
      </c>
      <c r="M329" s="31">
        <v>1574623</v>
      </c>
      <c r="N329" s="31" t="str">
        <f>""</f>
        <v/>
      </c>
      <c r="O329" s="31" t="str">
        <f>""</f>
        <v/>
      </c>
      <c r="P329" s="31" t="str">
        <f>""</f>
        <v/>
      </c>
      <c r="Q329" s="45" t="str">
        <f>""</f>
        <v/>
      </c>
      <c r="R329" s="46">
        <v>265.93</v>
      </c>
      <c r="S329" s="46">
        <v>0</v>
      </c>
      <c r="T329" s="47">
        <f t="shared" si="18"/>
        <v>265.93</v>
      </c>
    </row>
    <row r="330" spans="1:20" s="31" customFormat="1" x14ac:dyDescent="0.25">
      <c r="A330" s="25" t="s">
        <v>25</v>
      </c>
      <c r="B330" s="42"/>
      <c r="C330" s="42"/>
      <c r="D330" s="25"/>
      <c r="E330" s="25"/>
      <c r="F330" s="42" t="e">
        <f t="shared" si="19"/>
        <v>#REF!</v>
      </c>
      <c r="G330" s="42" t="e">
        <f t="shared" si="19"/>
        <v>#REF!</v>
      </c>
      <c r="H330" s="43"/>
      <c r="K330" s="31" t="str">
        <f>"""GP"",""Ute Indian Tribe Membership Fund"",""aaa_contract_detail_sp"",""JRNENTRY"",""1574628"",""aaGLHdrID"",""1742354"",""aaGLDistID"",""21"",""aaGLAssignID"",""1"",""contract"",""3460 92 URHS FY2025"""</f>
        <v>"GP","Ute Indian Tribe Membership Fund","aaa_contract_detail_sp","JRNENTRY","1574628","aaGLHdrID","1742354","aaGLDistID","21","aaGLAssignID","1","contract","3460 92 URHS FY2025"</v>
      </c>
      <c r="L330" s="44">
        <v>45617</v>
      </c>
      <c r="M330" s="31">
        <v>1574628</v>
      </c>
      <c r="N330" s="31" t="str">
        <f>""</f>
        <v/>
      </c>
      <c r="O330" s="31" t="str">
        <f>""</f>
        <v/>
      </c>
      <c r="P330" s="31" t="str">
        <f>""</f>
        <v/>
      </c>
      <c r="Q330" s="45" t="str">
        <f>""</f>
        <v/>
      </c>
      <c r="R330" s="46">
        <v>648.59</v>
      </c>
      <c r="S330" s="46">
        <v>0</v>
      </c>
      <c r="T330" s="47">
        <f t="shared" si="18"/>
        <v>648.59</v>
      </c>
    </row>
    <row r="331" spans="1:20" s="31" customFormat="1" x14ac:dyDescent="0.25">
      <c r="A331" s="25" t="s">
        <v>25</v>
      </c>
      <c r="B331" s="42"/>
      <c r="C331" s="42"/>
      <c r="D331" s="25"/>
      <c r="E331" s="25"/>
      <c r="F331" s="42" t="e">
        <f t="shared" si="19"/>
        <v>#REF!</v>
      </c>
      <c r="G331" s="42" t="e">
        <f t="shared" si="19"/>
        <v>#REF!</v>
      </c>
      <c r="H331" s="43"/>
      <c r="K331" s="31" t="str">
        <f>"""GP"",""Ute Indian Tribe Membership Fund"",""aaa_contract_detail_sp"",""JRNENTRY"",""1574628"",""aaGLHdrID"",""1742354"",""aaGLDistID"",""22"",""aaGLAssignID"",""1"",""contract"",""3460 92 URHS FY2025"""</f>
        <v>"GP","Ute Indian Tribe Membership Fund","aaa_contract_detail_sp","JRNENTRY","1574628","aaGLHdrID","1742354","aaGLDistID","22","aaGLAssignID","1","contract","3460 92 URHS FY2025"</v>
      </c>
      <c r="L331" s="44">
        <v>45617</v>
      </c>
      <c r="M331" s="31">
        <v>1574628</v>
      </c>
      <c r="N331" s="31" t="str">
        <f>""</f>
        <v/>
      </c>
      <c r="O331" s="31" t="str">
        <f>""</f>
        <v/>
      </c>
      <c r="P331" s="31" t="str">
        <f>""</f>
        <v/>
      </c>
      <c r="Q331" s="45" t="str">
        <f>""</f>
        <v/>
      </c>
      <c r="R331" s="46">
        <v>324.3</v>
      </c>
      <c r="S331" s="46">
        <v>0</v>
      </c>
      <c r="T331" s="47">
        <f t="shared" si="18"/>
        <v>324.3</v>
      </c>
    </row>
    <row r="332" spans="1:20" s="31" customFormat="1" x14ac:dyDescent="0.25">
      <c r="A332" s="25" t="s">
        <v>25</v>
      </c>
      <c r="B332" s="42"/>
      <c r="C332" s="42"/>
      <c r="D332" s="25"/>
      <c r="E332" s="25"/>
      <c r="F332" s="42" t="e">
        <f t="shared" si="19"/>
        <v>#REF!</v>
      </c>
      <c r="G332" s="42" t="e">
        <f t="shared" si="19"/>
        <v>#REF!</v>
      </c>
      <c r="H332" s="43"/>
      <c r="K332" s="31" t="str">
        <f>"""GP"",""Ute Indian Tribe Membership Fund"",""aaa_contract_detail_sp"",""JRNENTRY"",""1574661"",""aaGLHdrID"",""1742387"",""aaGLDistID"",""20"",""aaGLAssignID"",""1"",""contract"",""3460 92 URHS FY2025"""</f>
        <v>"GP","Ute Indian Tribe Membership Fund","aaa_contract_detail_sp","JRNENTRY","1574661","aaGLHdrID","1742387","aaGLDistID","20","aaGLAssignID","1","contract","3460 92 URHS FY2025"</v>
      </c>
      <c r="L332" s="44">
        <v>45617</v>
      </c>
      <c r="M332" s="31">
        <v>1574661</v>
      </c>
      <c r="N332" s="31" t="str">
        <f>""</f>
        <v/>
      </c>
      <c r="O332" s="31" t="str">
        <f>""</f>
        <v/>
      </c>
      <c r="P332" s="31" t="str">
        <f>""</f>
        <v/>
      </c>
      <c r="Q332" s="45" t="str">
        <f>""</f>
        <v/>
      </c>
      <c r="R332" s="46">
        <v>244.16</v>
      </c>
      <c r="S332" s="46">
        <v>0</v>
      </c>
      <c r="T332" s="47">
        <f t="shared" si="18"/>
        <v>244.16</v>
      </c>
    </row>
    <row r="333" spans="1:20" s="31" customFormat="1" x14ac:dyDescent="0.25">
      <c r="A333" s="25" t="s">
        <v>25</v>
      </c>
      <c r="B333" s="42"/>
      <c r="C333" s="42"/>
      <c r="D333" s="25"/>
      <c r="E333" s="25"/>
      <c r="F333" s="42" t="e">
        <f t="shared" ref="F333:G364" si="20">F332</f>
        <v>#REF!</v>
      </c>
      <c r="G333" s="42" t="e">
        <f t="shared" si="20"/>
        <v>#REF!</v>
      </c>
      <c r="H333" s="43"/>
      <c r="K333" s="31" t="str">
        <f>"""GP"",""Ute Indian Tribe Membership Fund"",""aaa_contract_detail_sp"",""JRNENTRY"",""1574669"",""aaGLHdrID"",""1742395"",""aaGLDistID"",""18"",""aaGLAssignID"",""1"",""contract"",""3460 92 URHS FY2025"""</f>
        <v>"GP","Ute Indian Tribe Membership Fund","aaa_contract_detail_sp","JRNENTRY","1574669","aaGLHdrID","1742395","aaGLDistID","18","aaGLAssignID","1","contract","3460 92 URHS FY2025"</v>
      </c>
      <c r="L333" s="44">
        <v>45617</v>
      </c>
      <c r="M333" s="31">
        <v>1574669</v>
      </c>
      <c r="N333" s="31" t="str">
        <f>""</f>
        <v/>
      </c>
      <c r="O333" s="31" t="str">
        <f>""</f>
        <v/>
      </c>
      <c r="P333" s="31" t="str">
        <f>""</f>
        <v/>
      </c>
      <c r="Q333" s="45" t="str">
        <f>""</f>
        <v/>
      </c>
      <c r="R333" s="46">
        <v>264.89999999999998</v>
      </c>
      <c r="S333" s="46">
        <v>0</v>
      </c>
      <c r="T333" s="47">
        <f t="shared" ref="T333:T385" si="21">SUM(R333:S333)</f>
        <v>264.89999999999998</v>
      </c>
    </row>
    <row r="334" spans="1:20" s="31" customFormat="1" x14ac:dyDescent="0.25">
      <c r="A334" s="25" t="s">
        <v>25</v>
      </c>
      <c r="B334" s="42"/>
      <c r="C334" s="42"/>
      <c r="D334" s="25"/>
      <c r="E334" s="25"/>
      <c r="F334" s="42" t="e">
        <f t="shared" si="20"/>
        <v>#REF!</v>
      </c>
      <c r="G334" s="42" t="e">
        <f t="shared" si="20"/>
        <v>#REF!</v>
      </c>
      <c r="H334" s="43"/>
      <c r="K334" s="31" t="str">
        <f>"""GP"",""Ute Indian Tribe Membership Fund"",""aaa_contract_detail_sp"",""JRNENTRY"",""1574670"",""aaGLHdrID"",""1742396"",""aaGLDistID"",""17"",""aaGLAssignID"",""1"",""contract"",""3460 92 URHS FY2025"""</f>
        <v>"GP","Ute Indian Tribe Membership Fund","aaa_contract_detail_sp","JRNENTRY","1574670","aaGLHdrID","1742396","aaGLDistID","17","aaGLAssignID","1","contract","3460 92 URHS FY2025"</v>
      </c>
      <c r="L334" s="44">
        <v>45617</v>
      </c>
      <c r="M334" s="31">
        <v>1574670</v>
      </c>
      <c r="N334" s="31" t="str">
        <f>""</f>
        <v/>
      </c>
      <c r="O334" s="31" t="str">
        <f>""</f>
        <v/>
      </c>
      <c r="P334" s="31" t="str">
        <f>""</f>
        <v/>
      </c>
      <c r="Q334" s="45" t="str">
        <f>""</f>
        <v/>
      </c>
      <c r="R334" s="46">
        <v>273.79000000000002</v>
      </c>
      <c r="S334" s="46">
        <v>0</v>
      </c>
      <c r="T334" s="47">
        <f t="shared" si="21"/>
        <v>273.79000000000002</v>
      </c>
    </row>
    <row r="335" spans="1:20" s="31" customFormat="1" x14ac:dyDescent="0.25">
      <c r="A335" s="25" t="s">
        <v>25</v>
      </c>
      <c r="B335" s="42"/>
      <c r="C335" s="42"/>
      <c r="D335" s="25"/>
      <c r="E335" s="25"/>
      <c r="F335" s="42" t="e">
        <f t="shared" si="20"/>
        <v>#REF!</v>
      </c>
      <c r="G335" s="42" t="e">
        <f t="shared" si="20"/>
        <v>#REF!</v>
      </c>
      <c r="H335" s="43"/>
      <c r="K335" s="31" t="str">
        <f>"""GP"",""Ute Indian Tribe Membership Fund"",""aaa_contract_detail_sp"",""JRNENTRY"",""1574670"",""aaGLHdrID"",""1742396"",""aaGLDistID"",""18"",""aaGLAssignID"",""1"",""contract"",""3460 92 URHS FY2025"""</f>
        <v>"GP","Ute Indian Tribe Membership Fund","aaa_contract_detail_sp","JRNENTRY","1574670","aaGLHdrID","1742396","aaGLDistID","18","aaGLAssignID","1","contract","3460 92 URHS FY2025"</v>
      </c>
      <c r="L335" s="44">
        <v>45617</v>
      </c>
      <c r="M335" s="31">
        <v>1574670</v>
      </c>
      <c r="N335" s="31" t="str">
        <f>""</f>
        <v/>
      </c>
      <c r="O335" s="31" t="str">
        <f>""</f>
        <v/>
      </c>
      <c r="P335" s="31" t="str">
        <f>""</f>
        <v/>
      </c>
      <c r="Q335" s="45" t="str">
        <f>""</f>
        <v/>
      </c>
      <c r="R335" s="46">
        <v>136.9</v>
      </c>
      <c r="S335" s="46">
        <v>0</v>
      </c>
      <c r="T335" s="47">
        <f t="shared" si="21"/>
        <v>136.9</v>
      </c>
    </row>
    <row r="336" spans="1:20" s="31" customFormat="1" x14ac:dyDescent="0.25">
      <c r="A336" s="25" t="s">
        <v>25</v>
      </c>
      <c r="B336" s="42"/>
      <c r="C336" s="42"/>
      <c r="D336" s="25"/>
      <c r="E336" s="25"/>
      <c r="F336" s="42" t="e">
        <f t="shared" si="20"/>
        <v>#REF!</v>
      </c>
      <c r="G336" s="42" t="e">
        <f t="shared" si="20"/>
        <v>#REF!</v>
      </c>
      <c r="H336" s="43"/>
      <c r="K336" s="31" t="str">
        <f>"""GP"",""Ute Indian Tribe Membership Fund"",""aaa_contract_detail_sp"",""JRNENTRY"",""1574764"",""aaGLHdrID"",""1742490"",""aaGLDistID"",""16"",""aaGLAssignID"",""1"",""contract"",""3460 92 URHS FY2025"""</f>
        <v>"GP","Ute Indian Tribe Membership Fund","aaa_contract_detail_sp","JRNENTRY","1574764","aaGLHdrID","1742490","aaGLDistID","16","aaGLAssignID","1","contract","3460 92 URHS FY2025"</v>
      </c>
      <c r="L336" s="44">
        <v>45617</v>
      </c>
      <c r="M336" s="31">
        <v>1574764</v>
      </c>
      <c r="N336" s="31" t="str">
        <f>""</f>
        <v/>
      </c>
      <c r="O336" s="31" t="str">
        <f>""</f>
        <v/>
      </c>
      <c r="P336" s="31" t="str">
        <f>""</f>
        <v/>
      </c>
      <c r="Q336" s="45" t="str">
        <f>""</f>
        <v/>
      </c>
      <c r="R336" s="46">
        <v>125.44</v>
      </c>
      <c r="S336" s="46">
        <v>0</v>
      </c>
      <c r="T336" s="47">
        <f t="shared" si="21"/>
        <v>125.44</v>
      </c>
    </row>
    <row r="337" spans="1:20" s="31" customFormat="1" x14ac:dyDescent="0.25">
      <c r="A337" s="25" t="s">
        <v>25</v>
      </c>
      <c r="B337" s="42"/>
      <c r="C337" s="42"/>
      <c r="D337" s="25"/>
      <c r="E337" s="25"/>
      <c r="F337" s="42" t="e">
        <f t="shared" si="20"/>
        <v>#REF!</v>
      </c>
      <c r="G337" s="42" t="e">
        <f t="shared" si="20"/>
        <v>#REF!</v>
      </c>
      <c r="H337" s="43"/>
      <c r="K337" s="31" t="str">
        <f>"""GP"",""Ute Indian Tribe Membership Fund"",""aaa_contract_detail_sp"",""JRNENTRY"",""1574849"",""aaGLHdrID"",""1742575"",""aaGLDistID"",""20"",""aaGLAssignID"",""1"",""contract"",""3460 92 URHS FY2025"""</f>
        <v>"GP","Ute Indian Tribe Membership Fund","aaa_contract_detail_sp","JRNENTRY","1574849","aaGLHdrID","1742575","aaGLDistID","20","aaGLAssignID","1","contract","3460 92 URHS FY2025"</v>
      </c>
      <c r="L337" s="44">
        <v>45617</v>
      </c>
      <c r="M337" s="31">
        <v>1574849</v>
      </c>
      <c r="N337" s="31" t="str">
        <f>""</f>
        <v/>
      </c>
      <c r="O337" s="31" t="str">
        <f>""</f>
        <v/>
      </c>
      <c r="P337" s="31" t="str">
        <f>""</f>
        <v/>
      </c>
      <c r="Q337" s="45" t="str">
        <f>""</f>
        <v/>
      </c>
      <c r="R337" s="46">
        <v>78.53</v>
      </c>
      <c r="S337" s="46">
        <v>0</v>
      </c>
      <c r="T337" s="47">
        <f t="shared" si="21"/>
        <v>78.53</v>
      </c>
    </row>
    <row r="338" spans="1:20" s="31" customFormat="1" x14ac:dyDescent="0.25">
      <c r="A338" s="25" t="s">
        <v>25</v>
      </c>
      <c r="B338" s="42"/>
      <c r="C338" s="42"/>
      <c r="D338" s="25"/>
      <c r="E338" s="25"/>
      <c r="F338" s="42" t="e">
        <f t="shared" si="20"/>
        <v>#REF!</v>
      </c>
      <c r="G338" s="42" t="e">
        <f t="shared" si="20"/>
        <v>#REF!</v>
      </c>
      <c r="H338" s="43"/>
      <c r="K338" s="31" t="str">
        <f>"""GP"",""Ute Indian Tribe Membership Fund"",""aaa_contract_detail_sp"",""JRNENTRY"",""1576410"",""aaGLHdrID"",""1744370"",""aaGLDistID"",""20"",""aaGLAssignID"",""1"",""contract"",""3460 92 URHS FY2025"""</f>
        <v>"GP","Ute Indian Tribe Membership Fund","aaa_contract_detail_sp","JRNENTRY","1576410","aaGLHdrID","1744370","aaGLDistID","20","aaGLAssignID","1","contract","3460 92 URHS FY2025"</v>
      </c>
      <c r="L338" s="44">
        <v>45631</v>
      </c>
      <c r="M338" s="31">
        <v>1576410</v>
      </c>
      <c r="N338" s="31" t="str">
        <f>""</f>
        <v/>
      </c>
      <c r="O338" s="31" t="str">
        <f>""</f>
        <v/>
      </c>
      <c r="P338" s="31" t="str">
        <f>""</f>
        <v/>
      </c>
      <c r="Q338" s="45" t="str">
        <f>""</f>
        <v/>
      </c>
      <c r="R338" s="46">
        <v>329.57</v>
      </c>
      <c r="S338" s="46">
        <v>0</v>
      </c>
      <c r="T338" s="47">
        <f t="shared" si="21"/>
        <v>329.57</v>
      </c>
    </row>
    <row r="339" spans="1:20" s="31" customFormat="1" x14ac:dyDescent="0.25">
      <c r="A339" s="25" t="s">
        <v>25</v>
      </c>
      <c r="B339" s="42"/>
      <c r="C339" s="42"/>
      <c r="D339" s="25"/>
      <c r="E339" s="25"/>
      <c r="F339" s="42" t="e">
        <f t="shared" si="20"/>
        <v>#REF!</v>
      </c>
      <c r="G339" s="42" t="e">
        <f t="shared" si="20"/>
        <v>#REF!</v>
      </c>
      <c r="H339" s="43"/>
      <c r="K339" s="31" t="str">
        <f>"""GP"",""Ute Indian Tribe Membership Fund"",""aaa_contract_detail_sp"",""JRNENTRY"",""1576410"",""aaGLHdrID"",""1744370"",""aaGLDistID"",""21"",""aaGLAssignID"",""1"",""contract"",""3460 92 URHS FY2025"""</f>
        <v>"GP","Ute Indian Tribe Membership Fund","aaa_contract_detail_sp","JRNENTRY","1576410","aaGLHdrID","1744370","aaGLDistID","21","aaGLAssignID","1","contract","3460 92 URHS FY2025"</v>
      </c>
      <c r="L339" s="44">
        <v>45631</v>
      </c>
      <c r="M339" s="31">
        <v>1576410</v>
      </c>
      <c r="N339" s="31" t="str">
        <f>""</f>
        <v/>
      </c>
      <c r="O339" s="31" t="str">
        <f>""</f>
        <v/>
      </c>
      <c r="P339" s="31" t="str">
        <f>""</f>
        <v/>
      </c>
      <c r="Q339" s="45" t="str">
        <f>""</f>
        <v/>
      </c>
      <c r="R339" s="46">
        <v>164.78</v>
      </c>
      <c r="S339" s="46">
        <v>0</v>
      </c>
      <c r="T339" s="47">
        <f t="shared" si="21"/>
        <v>164.78</v>
      </c>
    </row>
    <row r="340" spans="1:20" s="31" customFormat="1" x14ac:dyDescent="0.25">
      <c r="A340" s="25" t="s">
        <v>25</v>
      </c>
      <c r="B340" s="42"/>
      <c r="C340" s="42"/>
      <c r="D340" s="25"/>
      <c r="E340" s="25"/>
      <c r="F340" s="42" t="e">
        <f t="shared" si="20"/>
        <v>#REF!</v>
      </c>
      <c r="G340" s="42" t="e">
        <f t="shared" si="20"/>
        <v>#REF!</v>
      </c>
      <c r="H340" s="43"/>
      <c r="K340" s="31" t="str">
        <f>"""GP"",""Ute Indian Tribe Membership Fund"",""aaa_contract_detail_sp"",""JRNENTRY"",""1576479"",""aaGLHdrID"",""1744439"",""aaGLDistID"",""22"",""aaGLAssignID"",""1"",""contract"",""3460 92 URHS FY2025"""</f>
        <v>"GP","Ute Indian Tribe Membership Fund","aaa_contract_detail_sp","JRNENTRY","1576479","aaGLHdrID","1744439","aaGLDistID","22","aaGLAssignID","1","contract","3460 92 URHS FY2025"</v>
      </c>
      <c r="L340" s="44">
        <v>45631</v>
      </c>
      <c r="M340" s="31">
        <v>1576479</v>
      </c>
      <c r="N340" s="31" t="str">
        <f>""</f>
        <v/>
      </c>
      <c r="O340" s="31" t="str">
        <f>""</f>
        <v/>
      </c>
      <c r="P340" s="31" t="str">
        <f>""</f>
        <v/>
      </c>
      <c r="Q340" s="45" t="str">
        <f>""</f>
        <v/>
      </c>
      <c r="R340" s="46">
        <v>199.59</v>
      </c>
      <c r="S340" s="46">
        <v>0</v>
      </c>
      <c r="T340" s="47">
        <f t="shared" si="21"/>
        <v>199.59</v>
      </c>
    </row>
    <row r="341" spans="1:20" s="31" customFormat="1" x14ac:dyDescent="0.25">
      <c r="A341" s="25" t="s">
        <v>25</v>
      </c>
      <c r="B341" s="42"/>
      <c r="C341" s="42"/>
      <c r="D341" s="25"/>
      <c r="E341" s="25"/>
      <c r="F341" s="42" t="e">
        <f t="shared" si="20"/>
        <v>#REF!</v>
      </c>
      <c r="G341" s="42" t="e">
        <f t="shared" si="20"/>
        <v>#REF!</v>
      </c>
      <c r="H341" s="43"/>
      <c r="K341" s="31" t="str">
        <f>"""GP"",""Ute Indian Tribe Membership Fund"",""aaa_contract_detail_sp"",""JRNENTRY"",""1576479"",""aaGLHdrID"",""1744439"",""aaGLDistID"",""23"",""aaGLAssignID"",""1"",""contract"",""3460 92 URHS FY2025"""</f>
        <v>"GP","Ute Indian Tribe Membership Fund","aaa_contract_detail_sp","JRNENTRY","1576479","aaGLHdrID","1744439","aaGLDistID","23","aaGLAssignID","1","contract","3460 92 URHS FY2025"</v>
      </c>
      <c r="L341" s="44">
        <v>45631</v>
      </c>
      <c r="M341" s="31">
        <v>1576479</v>
      </c>
      <c r="N341" s="31" t="str">
        <f>""</f>
        <v/>
      </c>
      <c r="O341" s="31" t="str">
        <f>""</f>
        <v/>
      </c>
      <c r="P341" s="31" t="str">
        <f>""</f>
        <v/>
      </c>
      <c r="Q341" s="45" t="str">
        <f>""</f>
        <v/>
      </c>
      <c r="R341" s="46">
        <v>399.18</v>
      </c>
      <c r="S341" s="46">
        <v>0</v>
      </c>
      <c r="T341" s="47">
        <f t="shared" si="21"/>
        <v>399.18</v>
      </c>
    </row>
    <row r="342" spans="1:20" s="31" customFormat="1" x14ac:dyDescent="0.25">
      <c r="A342" s="25" t="s">
        <v>25</v>
      </c>
      <c r="B342" s="42"/>
      <c r="C342" s="42"/>
      <c r="D342" s="25"/>
      <c r="E342" s="25"/>
      <c r="F342" s="42" t="e">
        <f t="shared" si="20"/>
        <v>#REF!</v>
      </c>
      <c r="G342" s="42" t="e">
        <f t="shared" si="20"/>
        <v>#REF!</v>
      </c>
      <c r="H342" s="43"/>
      <c r="K342" s="31" t="str">
        <f>"""GP"",""Ute Indian Tribe Membership Fund"",""aaa_contract_detail_sp"",""JRNENTRY"",""1576499"",""aaGLHdrID"",""1744459"",""aaGLDistID"",""24"",""aaGLAssignID"",""1"",""contract"",""3460 92 URHS FY2025"""</f>
        <v>"GP","Ute Indian Tribe Membership Fund","aaa_contract_detail_sp","JRNENTRY","1576499","aaGLHdrID","1744459","aaGLDistID","24","aaGLAssignID","1","contract","3460 92 URHS FY2025"</v>
      </c>
      <c r="L342" s="44">
        <v>45631</v>
      </c>
      <c r="M342" s="31">
        <v>1576499</v>
      </c>
      <c r="N342" s="31" t="str">
        <f>""</f>
        <v/>
      </c>
      <c r="O342" s="31" t="str">
        <f>""</f>
        <v/>
      </c>
      <c r="P342" s="31" t="str">
        <f>""</f>
        <v/>
      </c>
      <c r="Q342" s="45" t="str">
        <f>""</f>
        <v/>
      </c>
      <c r="R342" s="46">
        <v>371.55</v>
      </c>
      <c r="S342" s="46">
        <v>0</v>
      </c>
      <c r="T342" s="47">
        <f t="shared" si="21"/>
        <v>371.55</v>
      </c>
    </row>
    <row r="343" spans="1:20" s="31" customFormat="1" x14ac:dyDescent="0.25">
      <c r="A343" s="25" t="s">
        <v>25</v>
      </c>
      <c r="B343" s="42"/>
      <c r="C343" s="42"/>
      <c r="D343" s="25"/>
      <c r="E343" s="25"/>
      <c r="F343" s="42" t="e">
        <f t="shared" si="20"/>
        <v>#REF!</v>
      </c>
      <c r="G343" s="42" t="e">
        <f t="shared" si="20"/>
        <v>#REF!</v>
      </c>
      <c r="H343" s="43"/>
      <c r="K343" s="31" t="str">
        <f>"""GP"",""Ute Indian Tribe Membership Fund"",""aaa_contract_detail_sp"",""JRNENTRY"",""1576571"",""aaGLHdrID"",""1744531"",""aaGLDistID"",""18"",""aaGLAssignID"",""1"",""contract"",""3460 92 URHS FY2025"""</f>
        <v>"GP","Ute Indian Tribe Membership Fund","aaa_contract_detail_sp","JRNENTRY","1576571","aaGLHdrID","1744531","aaGLDistID","18","aaGLAssignID","1","contract","3460 92 URHS FY2025"</v>
      </c>
      <c r="L343" s="44">
        <v>45631</v>
      </c>
      <c r="M343" s="31">
        <v>1576571</v>
      </c>
      <c r="N343" s="31" t="str">
        <f>""</f>
        <v/>
      </c>
      <c r="O343" s="31" t="str">
        <f>""</f>
        <v/>
      </c>
      <c r="P343" s="31" t="str">
        <f>""</f>
        <v/>
      </c>
      <c r="Q343" s="45" t="str">
        <f>""</f>
        <v/>
      </c>
      <c r="R343" s="46">
        <v>357.47</v>
      </c>
      <c r="S343" s="46">
        <v>0</v>
      </c>
      <c r="T343" s="47">
        <f t="shared" si="21"/>
        <v>357.47</v>
      </c>
    </row>
    <row r="344" spans="1:20" s="31" customFormat="1" x14ac:dyDescent="0.25">
      <c r="A344" s="25" t="s">
        <v>25</v>
      </c>
      <c r="B344" s="42"/>
      <c r="C344" s="42"/>
      <c r="D344" s="25"/>
      <c r="E344" s="25"/>
      <c r="F344" s="42" t="e">
        <f t="shared" si="20"/>
        <v>#REF!</v>
      </c>
      <c r="G344" s="42" t="e">
        <f t="shared" si="20"/>
        <v>#REF!</v>
      </c>
      <c r="H344" s="43"/>
      <c r="K344" s="31" t="str">
        <f>"""GP"",""Ute Indian Tribe Membership Fund"",""aaa_contract_detail_sp"",""JRNENTRY"",""1576572"",""aaGLHdrID"",""1744532"",""aaGLDistID"",""21"",""aaGLAssignID"",""1"",""contract"",""3460 92 URHS FY2025"""</f>
        <v>"GP","Ute Indian Tribe Membership Fund","aaa_contract_detail_sp","JRNENTRY","1576572","aaGLHdrID","1744532","aaGLDistID","21","aaGLAssignID","1","contract","3460 92 URHS FY2025"</v>
      </c>
      <c r="L344" s="44">
        <v>45631</v>
      </c>
      <c r="M344" s="31">
        <v>1576572</v>
      </c>
      <c r="N344" s="31" t="str">
        <f>""</f>
        <v/>
      </c>
      <c r="O344" s="31" t="str">
        <f>""</f>
        <v/>
      </c>
      <c r="P344" s="31" t="str">
        <f>""</f>
        <v/>
      </c>
      <c r="Q344" s="45" t="str">
        <f>""</f>
        <v/>
      </c>
      <c r="R344" s="46">
        <v>204.72</v>
      </c>
      <c r="S344" s="46">
        <v>0</v>
      </c>
      <c r="T344" s="47">
        <f t="shared" si="21"/>
        <v>204.72</v>
      </c>
    </row>
    <row r="345" spans="1:20" s="31" customFormat="1" x14ac:dyDescent="0.25">
      <c r="A345" s="25" t="s">
        <v>25</v>
      </c>
      <c r="B345" s="42"/>
      <c r="C345" s="42"/>
      <c r="D345" s="25"/>
      <c r="E345" s="25"/>
      <c r="F345" s="42" t="e">
        <f t="shared" si="20"/>
        <v>#REF!</v>
      </c>
      <c r="G345" s="42" t="e">
        <f t="shared" si="20"/>
        <v>#REF!</v>
      </c>
      <c r="H345" s="43"/>
      <c r="K345" s="31" t="str">
        <f>"""GP"",""Ute Indian Tribe Membership Fund"",""aaa_contract_detail_sp"",""JRNENTRY"",""1576572"",""aaGLHdrID"",""1744532"",""aaGLDistID"",""22"",""aaGLAssignID"",""1"",""contract"",""3460 92 URHS FY2025"""</f>
        <v>"GP","Ute Indian Tribe Membership Fund","aaa_contract_detail_sp","JRNENTRY","1576572","aaGLHdrID","1744532","aaGLDistID","22","aaGLAssignID","1","contract","3460 92 URHS FY2025"</v>
      </c>
      <c r="L345" s="44">
        <v>45631</v>
      </c>
      <c r="M345" s="31">
        <v>1576572</v>
      </c>
      <c r="N345" s="31" t="str">
        <f>""</f>
        <v/>
      </c>
      <c r="O345" s="31" t="str">
        <f>""</f>
        <v/>
      </c>
      <c r="P345" s="31" t="str">
        <f>""</f>
        <v/>
      </c>
      <c r="Q345" s="45" t="str">
        <f>""</f>
        <v/>
      </c>
      <c r="R345" s="46">
        <v>409.44</v>
      </c>
      <c r="S345" s="46">
        <v>0</v>
      </c>
      <c r="T345" s="47">
        <f t="shared" si="21"/>
        <v>409.44</v>
      </c>
    </row>
    <row r="346" spans="1:20" s="31" customFormat="1" x14ac:dyDescent="0.25">
      <c r="A346" s="25" t="s">
        <v>25</v>
      </c>
      <c r="B346" s="42"/>
      <c r="C346" s="42"/>
      <c r="D346" s="25"/>
      <c r="E346" s="25"/>
      <c r="F346" s="42" t="e">
        <f t="shared" si="20"/>
        <v>#REF!</v>
      </c>
      <c r="G346" s="42" t="e">
        <f t="shared" si="20"/>
        <v>#REF!</v>
      </c>
      <c r="H346" s="43"/>
      <c r="K346" s="31" t="str">
        <f>"""GP"",""Ute Indian Tribe Membership Fund"",""aaa_contract_detail_sp"",""JRNENTRY"",""1576577"",""aaGLHdrID"",""1744537"",""aaGLDistID"",""21"",""aaGLAssignID"",""1"",""contract"",""3460 92 URHS FY2025"""</f>
        <v>"GP","Ute Indian Tribe Membership Fund","aaa_contract_detail_sp","JRNENTRY","1576577","aaGLHdrID","1744537","aaGLDistID","21","aaGLAssignID","1","contract","3460 92 URHS FY2025"</v>
      </c>
      <c r="L346" s="44">
        <v>45631</v>
      </c>
      <c r="M346" s="31">
        <v>1576577</v>
      </c>
      <c r="N346" s="31" t="str">
        <f>""</f>
        <v/>
      </c>
      <c r="O346" s="31" t="str">
        <f>""</f>
        <v/>
      </c>
      <c r="P346" s="31" t="str">
        <f>""</f>
        <v/>
      </c>
      <c r="Q346" s="45" t="str">
        <f>""</f>
        <v/>
      </c>
      <c r="R346" s="46">
        <v>240.34</v>
      </c>
      <c r="S346" s="46">
        <v>0</v>
      </c>
      <c r="T346" s="47">
        <f t="shared" si="21"/>
        <v>240.34</v>
      </c>
    </row>
    <row r="347" spans="1:20" s="31" customFormat="1" x14ac:dyDescent="0.25">
      <c r="A347" s="25" t="s">
        <v>25</v>
      </c>
      <c r="B347" s="42"/>
      <c r="C347" s="42"/>
      <c r="D347" s="25"/>
      <c r="E347" s="25"/>
      <c r="F347" s="42" t="e">
        <f t="shared" si="20"/>
        <v>#REF!</v>
      </c>
      <c r="G347" s="42" t="e">
        <f t="shared" si="20"/>
        <v>#REF!</v>
      </c>
      <c r="H347" s="43"/>
      <c r="K347" s="31" t="str">
        <f>"""GP"",""Ute Indian Tribe Membership Fund"",""aaa_contract_detail_sp"",""JRNENTRY"",""1576577"",""aaGLHdrID"",""1744537"",""aaGLDistID"",""22"",""aaGLAssignID"",""1"",""contract"",""3460 92 URHS FY2025"""</f>
        <v>"GP","Ute Indian Tribe Membership Fund","aaa_contract_detail_sp","JRNENTRY","1576577","aaGLHdrID","1744537","aaGLDistID","22","aaGLAssignID","1","contract","3460 92 URHS FY2025"</v>
      </c>
      <c r="L347" s="44">
        <v>45631</v>
      </c>
      <c r="M347" s="31">
        <v>1576577</v>
      </c>
      <c r="N347" s="31" t="str">
        <f>""</f>
        <v/>
      </c>
      <c r="O347" s="31" t="str">
        <f>""</f>
        <v/>
      </c>
      <c r="P347" s="31" t="str">
        <f>""</f>
        <v/>
      </c>
      <c r="Q347" s="45" t="str">
        <f>""</f>
        <v/>
      </c>
      <c r="R347" s="46">
        <v>480.67</v>
      </c>
      <c r="S347" s="46">
        <v>0</v>
      </c>
      <c r="T347" s="47">
        <f t="shared" si="21"/>
        <v>480.67</v>
      </c>
    </row>
    <row r="348" spans="1:20" s="31" customFormat="1" x14ac:dyDescent="0.25">
      <c r="A348" s="25" t="s">
        <v>25</v>
      </c>
      <c r="B348" s="42"/>
      <c r="C348" s="42"/>
      <c r="D348" s="25"/>
      <c r="E348" s="25"/>
      <c r="F348" s="42" t="e">
        <f t="shared" si="20"/>
        <v>#REF!</v>
      </c>
      <c r="G348" s="42" t="e">
        <f t="shared" si="20"/>
        <v>#REF!</v>
      </c>
      <c r="H348" s="43"/>
      <c r="K348" s="31" t="str">
        <f>"""GP"",""Ute Indian Tribe Membership Fund"",""aaa_contract_detail_sp"",""JRNENTRY"",""1576610"",""aaGLHdrID"",""1744570"",""aaGLDistID"",""23"",""aaGLAssignID"",""1"",""contract"",""3460 92 URHS FY2025"""</f>
        <v>"GP","Ute Indian Tribe Membership Fund","aaa_contract_detail_sp","JRNENTRY","1576610","aaGLHdrID","1744570","aaGLDistID","23","aaGLAssignID","1","contract","3460 92 URHS FY2025"</v>
      </c>
      <c r="L348" s="44">
        <v>45631</v>
      </c>
      <c r="M348" s="31">
        <v>1576610</v>
      </c>
      <c r="N348" s="31" t="str">
        <f>""</f>
        <v/>
      </c>
      <c r="O348" s="31" t="str">
        <f>""</f>
        <v/>
      </c>
      <c r="P348" s="31" t="str">
        <f>""</f>
        <v/>
      </c>
      <c r="Q348" s="45" t="str">
        <f>""</f>
        <v/>
      </c>
      <c r="R348" s="46">
        <v>364.4</v>
      </c>
      <c r="S348" s="46">
        <v>0</v>
      </c>
      <c r="T348" s="47">
        <f t="shared" si="21"/>
        <v>364.4</v>
      </c>
    </row>
    <row r="349" spans="1:20" s="31" customFormat="1" x14ac:dyDescent="0.25">
      <c r="A349" s="25" t="s">
        <v>25</v>
      </c>
      <c r="B349" s="42"/>
      <c r="C349" s="42"/>
      <c r="D349" s="25"/>
      <c r="E349" s="25"/>
      <c r="F349" s="42" t="e">
        <f t="shared" si="20"/>
        <v>#REF!</v>
      </c>
      <c r="G349" s="42" t="e">
        <f t="shared" si="20"/>
        <v>#REF!</v>
      </c>
      <c r="H349" s="43"/>
      <c r="K349" s="31" t="str">
        <f>"""GP"",""Ute Indian Tribe Membership Fund"",""aaa_contract_detail_sp"",""JRNENTRY"",""1576618"",""aaGLHdrID"",""1744578"",""aaGLDistID"",""21"",""aaGLAssignID"",""1"",""contract"",""3460 92 URHS FY2025"""</f>
        <v>"GP","Ute Indian Tribe Membership Fund","aaa_contract_detail_sp","JRNENTRY","1576618","aaGLHdrID","1744578","aaGLDistID","21","aaGLAssignID","1","contract","3460 92 URHS FY2025"</v>
      </c>
      <c r="L349" s="44">
        <v>45631</v>
      </c>
      <c r="M349" s="31">
        <v>1576618</v>
      </c>
      <c r="N349" s="31" t="str">
        <f>""</f>
        <v/>
      </c>
      <c r="O349" s="31" t="str">
        <f>""</f>
        <v/>
      </c>
      <c r="P349" s="31" t="str">
        <f>""</f>
        <v/>
      </c>
      <c r="Q349" s="45" t="str">
        <f>""</f>
        <v/>
      </c>
      <c r="R349" s="46">
        <v>378.9</v>
      </c>
      <c r="S349" s="46">
        <v>0</v>
      </c>
      <c r="T349" s="47">
        <f t="shared" si="21"/>
        <v>378.9</v>
      </c>
    </row>
    <row r="350" spans="1:20" s="31" customFormat="1" x14ac:dyDescent="0.25">
      <c r="A350" s="25" t="s">
        <v>25</v>
      </c>
      <c r="B350" s="42"/>
      <c r="C350" s="42"/>
      <c r="D350" s="25"/>
      <c r="E350" s="25"/>
      <c r="F350" s="42" t="e">
        <f t="shared" si="20"/>
        <v>#REF!</v>
      </c>
      <c r="G350" s="42" t="e">
        <f t="shared" si="20"/>
        <v>#REF!</v>
      </c>
      <c r="H350" s="43"/>
      <c r="K350" s="31" t="str">
        <f>"""GP"",""Ute Indian Tribe Membership Fund"",""aaa_contract_detail_sp"",""JRNENTRY"",""1576619"",""aaGLHdrID"",""1744579"",""aaGLDistID"",""18"",""aaGLAssignID"",""1"",""contract"",""3460 92 URHS FY2025"""</f>
        <v>"GP","Ute Indian Tribe Membership Fund","aaa_contract_detail_sp","JRNENTRY","1576619","aaGLHdrID","1744579","aaGLDistID","18","aaGLAssignID","1","contract","3460 92 URHS FY2025"</v>
      </c>
      <c r="L350" s="44">
        <v>45631</v>
      </c>
      <c r="M350" s="31">
        <v>1576619</v>
      </c>
      <c r="N350" s="31" t="str">
        <f>""</f>
        <v/>
      </c>
      <c r="O350" s="31" t="str">
        <f>""</f>
        <v/>
      </c>
      <c r="P350" s="31" t="str">
        <f>""</f>
        <v/>
      </c>
      <c r="Q350" s="45" t="str">
        <f>""</f>
        <v/>
      </c>
      <c r="R350" s="46">
        <v>373.79</v>
      </c>
      <c r="S350" s="46">
        <v>0</v>
      </c>
      <c r="T350" s="47">
        <f t="shared" si="21"/>
        <v>373.79</v>
      </c>
    </row>
    <row r="351" spans="1:20" s="31" customFormat="1" x14ac:dyDescent="0.25">
      <c r="A351" s="25" t="s">
        <v>25</v>
      </c>
      <c r="B351" s="42"/>
      <c r="C351" s="42"/>
      <c r="D351" s="25"/>
      <c r="E351" s="25"/>
      <c r="F351" s="42" t="e">
        <f t="shared" si="20"/>
        <v>#REF!</v>
      </c>
      <c r="G351" s="42" t="e">
        <f t="shared" si="20"/>
        <v>#REF!</v>
      </c>
      <c r="H351" s="43"/>
      <c r="K351" s="31" t="str">
        <f>"""GP"",""Ute Indian Tribe Membership Fund"",""aaa_contract_detail_sp"",""JRNENTRY"",""1576619"",""aaGLHdrID"",""1744579"",""aaGLDistID"",""19"",""aaGLAssignID"",""1"",""contract"",""3460 92 URHS FY2025"""</f>
        <v>"GP","Ute Indian Tribe Membership Fund","aaa_contract_detail_sp","JRNENTRY","1576619","aaGLHdrID","1744579","aaGLDistID","19","aaGLAssignID","1","contract","3460 92 URHS FY2025"</v>
      </c>
      <c r="L351" s="44">
        <v>45631</v>
      </c>
      <c r="M351" s="31">
        <v>1576619</v>
      </c>
      <c r="N351" s="31" t="str">
        <f>""</f>
        <v/>
      </c>
      <c r="O351" s="31" t="str">
        <f>""</f>
        <v/>
      </c>
      <c r="P351" s="31" t="str">
        <f>""</f>
        <v/>
      </c>
      <c r="Q351" s="45" t="str">
        <f>""</f>
        <v/>
      </c>
      <c r="R351" s="46">
        <v>186.9</v>
      </c>
      <c r="S351" s="46">
        <v>0</v>
      </c>
      <c r="T351" s="47">
        <f t="shared" si="21"/>
        <v>186.9</v>
      </c>
    </row>
    <row r="352" spans="1:20" s="31" customFormat="1" x14ac:dyDescent="0.25">
      <c r="A352" s="25" t="s">
        <v>25</v>
      </c>
      <c r="B352" s="42"/>
      <c r="C352" s="42"/>
      <c r="D352" s="25"/>
      <c r="E352" s="25"/>
      <c r="F352" s="42" t="e">
        <f t="shared" si="20"/>
        <v>#REF!</v>
      </c>
      <c r="G352" s="42" t="e">
        <f t="shared" si="20"/>
        <v>#REF!</v>
      </c>
      <c r="H352" s="43"/>
      <c r="K352" s="31" t="str">
        <f>"""GP"",""Ute Indian Tribe Membership Fund"",""aaa_contract_detail_sp"",""JRNENTRY"",""1576712"",""aaGLHdrID"",""1744672"",""aaGLDistID"",""18"",""aaGLAssignID"",""1"",""contract"",""3460 92 URHS FY2025"""</f>
        <v>"GP","Ute Indian Tribe Membership Fund","aaa_contract_detail_sp","JRNENTRY","1576712","aaGLHdrID","1744672","aaGLDistID","18","aaGLAssignID","1","contract","3460 92 URHS FY2025"</v>
      </c>
      <c r="L352" s="44">
        <v>45631</v>
      </c>
      <c r="M352" s="31">
        <v>1576712</v>
      </c>
      <c r="N352" s="31" t="str">
        <f>""</f>
        <v/>
      </c>
      <c r="O352" s="31" t="str">
        <f>""</f>
        <v/>
      </c>
      <c r="P352" s="31" t="str">
        <f>""</f>
        <v/>
      </c>
      <c r="Q352" s="45" t="str">
        <f>""</f>
        <v/>
      </c>
      <c r="R352" s="46">
        <v>175.44</v>
      </c>
      <c r="S352" s="46">
        <v>0</v>
      </c>
      <c r="T352" s="47">
        <f t="shared" si="21"/>
        <v>175.44</v>
      </c>
    </row>
    <row r="353" spans="1:20" s="31" customFormat="1" x14ac:dyDescent="0.25">
      <c r="A353" s="25" t="s">
        <v>25</v>
      </c>
      <c r="B353" s="42"/>
      <c r="C353" s="42"/>
      <c r="D353" s="25"/>
      <c r="E353" s="25"/>
      <c r="F353" s="42" t="e">
        <f t="shared" si="20"/>
        <v>#REF!</v>
      </c>
      <c r="G353" s="42" t="e">
        <f t="shared" si="20"/>
        <v>#REF!</v>
      </c>
      <c r="H353" s="43"/>
      <c r="K353" s="31" t="str">
        <f>"""GP"",""Ute Indian Tribe Membership Fund"",""aaa_contract_detail_sp"",""JRNENTRY"",""1576794"",""aaGLHdrID"",""1744754"",""aaGLDistID"",""20"",""aaGLAssignID"",""1"",""contract"",""3460 92 URHS FY2025"""</f>
        <v>"GP","Ute Indian Tribe Membership Fund","aaa_contract_detail_sp","JRNENTRY","1576794","aaGLHdrID","1744754","aaGLDistID","20","aaGLAssignID","1","contract","3460 92 URHS FY2025"</v>
      </c>
      <c r="L353" s="44">
        <v>45631</v>
      </c>
      <c r="M353" s="31">
        <v>1576794</v>
      </c>
      <c r="N353" s="31" t="str">
        <f>""</f>
        <v/>
      </c>
      <c r="O353" s="31" t="str">
        <f>""</f>
        <v/>
      </c>
      <c r="P353" s="31" t="str">
        <f>""</f>
        <v/>
      </c>
      <c r="Q353" s="45" t="str">
        <f>""</f>
        <v/>
      </c>
      <c r="R353" s="46">
        <v>128.53</v>
      </c>
      <c r="S353" s="46">
        <v>0</v>
      </c>
      <c r="T353" s="47">
        <f t="shared" si="21"/>
        <v>128.53</v>
      </c>
    </row>
    <row r="354" spans="1:20" s="31" customFormat="1" x14ac:dyDescent="0.25">
      <c r="A354" s="25" t="s">
        <v>25</v>
      </c>
      <c r="B354" s="42"/>
      <c r="C354" s="42"/>
      <c r="D354" s="25"/>
      <c r="E354" s="25"/>
      <c r="F354" s="42" t="e">
        <f t="shared" si="20"/>
        <v>#REF!</v>
      </c>
      <c r="G354" s="42" t="e">
        <f t="shared" si="20"/>
        <v>#REF!</v>
      </c>
      <c r="H354" s="43"/>
      <c r="K354" s="31" t="str">
        <f>"""GP"",""Ute Indian Tribe Membership Fund"",""aaa_contract_detail_sp"",""JRNENTRY"",""1579504"",""aaGLHdrID"",""1747393"",""aaGLDistID"",""21"",""aaGLAssignID"",""1"",""contract"",""3460 92 URHS FY2025"""</f>
        <v>"GP","Ute Indian Tribe Membership Fund","aaa_contract_detail_sp","JRNENTRY","1579504","aaGLHdrID","1747393","aaGLDistID","21","aaGLAssignID","1","contract","3460 92 URHS FY2025"</v>
      </c>
      <c r="L354" s="44">
        <v>45645</v>
      </c>
      <c r="M354" s="31">
        <v>1579504</v>
      </c>
      <c r="N354" s="31" t="str">
        <f>""</f>
        <v/>
      </c>
      <c r="O354" s="31" t="str">
        <f>""</f>
        <v/>
      </c>
      <c r="P354" s="31" t="str">
        <f>""</f>
        <v/>
      </c>
      <c r="Q354" s="45" t="str">
        <f>""</f>
        <v/>
      </c>
      <c r="R354" s="46">
        <v>277.27999999999997</v>
      </c>
      <c r="S354" s="46">
        <v>0</v>
      </c>
      <c r="T354" s="47">
        <f t="shared" si="21"/>
        <v>277.27999999999997</v>
      </c>
    </row>
    <row r="355" spans="1:20" s="31" customFormat="1" x14ac:dyDescent="0.25">
      <c r="A355" s="25" t="s">
        <v>25</v>
      </c>
      <c r="B355" s="42"/>
      <c r="C355" s="42"/>
      <c r="D355" s="25"/>
      <c r="E355" s="25"/>
      <c r="F355" s="42" t="e">
        <f t="shared" si="20"/>
        <v>#REF!</v>
      </c>
      <c r="G355" s="42" t="e">
        <f t="shared" si="20"/>
        <v>#REF!</v>
      </c>
      <c r="H355" s="43"/>
      <c r="K355" s="31" t="str">
        <f>"""GP"",""Ute Indian Tribe Membership Fund"",""aaa_contract_detail_sp"",""JRNENTRY"",""1579504"",""aaGLHdrID"",""1747393"",""aaGLDistID"",""22"",""aaGLAssignID"",""1"",""contract"",""3460 92 URHS FY2025"""</f>
        <v>"GP","Ute Indian Tribe Membership Fund","aaa_contract_detail_sp","JRNENTRY","1579504","aaGLHdrID","1747393","aaGLDistID","22","aaGLAssignID","1","contract","3460 92 URHS FY2025"</v>
      </c>
      <c r="L355" s="44">
        <v>45645</v>
      </c>
      <c r="M355" s="31">
        <v>1579504</v>
      </c>
      <c r="N355" s="31" t="str">
        <f>""</f>
        <v/>
      </c>
      <c r="O355" s="31" t="str">
        <f>""</f>
        <v/>
      </c>
      <c r="P355" s="31" t="str">
        <f>""</f>
        <v/>
      </c>
      <c r="Q355" s="45" t="str">
        <f>""</f>
        <v/>
      </c>
      <c r="R355" s="46">
        <v>138.63999999999999</v>
      </c>
      <c r="S355" s="46">
        <v>0</v>
      </c>
      <c r="T355" s="47">
        <f t="shared" si="21"/>
        <v>138.63999999999999</v>
      </c>
    </row>
    <row r="356" spans="1:20" s="31" customFormat="1" x14ac:dyDescent="0.25">
      <c r="A356" s="25" t="s">
        <v>25</v>
      </c>
      <c r="B356" s="42"/>
      <c r="C356" s="42"/>
      <c r="D356" s="25"/>
      <c r="E356" s="25"/>
      <c r="F356" s="42" t="e">
        <f t="shared" si="20"/>
        <v>#REF!</v>
      </c>
      <c r="G356" s="42" t="e">
        <f t="shared" si="20"/>
        <v>#REF!</v>
      </c>
      <c r="H356" s="43"/>
      <c r="K356" s="31" t="str">
        <f>"""GP"",""Ute Indian Tribe Membership Fund"",""aaa_contract_detail_sp"",""JRNENTRY"",""1579569"",""aaGLHdrID"",""1747458"",""aaGLDistID"",""22"",""aaGLAssignID"",""1"",""contract"",""3460 92 URHS FY2025"""</f>
        <v>"GP","Ute Indian Tribe Membership Fund","aaa_contract_detail_sp","JRNENTRY","1579569","aaGLHdrID","1747458","aaGLDistID","22","aaGLAssignID","1","contract","3460 92 URHS FY2025"</v>
      </c>
      <c r="L356" s="44">
        <v>45645</v>
      </c>
      <c r="M356" s="31">
        <v>1579569</v>
      </c>
      <c r="N356" s="31" t="str">
        <f>""</f>
        <v/>
      </c>
      <c r="O356" s="31" t="str">
        <f>""</f>
        <v/>
      </c>
      <c r="P356" s="31" t="str">
        <f>""</f>
        <v/>
      </c>
      <c r="Q356" s="45" t="str">
        <f>""</f>
        <v/>
      </c>
      <c r="R356" s="46">
        <v>752.79</v>
      </c>
      <c r="S356" s="46">
        <v>0</v>
      </c>
      <c r="T356" s="47">
        <f t="shared" si="21"/>
        <v>752.79</v>
      </c>
    </row>
    <row r="357" spans="1:20" s="31" customFormat="1" x14ac:dyDescent="0.25">
      <c r="A357" s="25" t="s">
        <v>25</v>
      </c>
      <c r="B357" s="42"/>
      <c r="C357" s="42"/>
      <c r="D357" s="25"/>
      <c r="E357" s="25"/>
      <c r="F357" s="42" t="e">
        <f t="shared" si="20"/>
        <v>#REF!</v>
      </c>
      <c r="G357" s="42" t="e">
        <f t="shared" si="20"/>
        <v>#REF!</v>
      </c>
      <c r="H357" s="43"/>
      <c r="K357" s="31" t="str">
        <f>"""GP"",""Ute Indian Tribe Membership Fund"",""aaa_contract_detail_sp"",""JRNENTRY"",""1579569"",""aaGLHdrID"",""1747458"",""aaGLDistID"",""23"",""aaGLAssignID"",""1"",""contract"",""3460 92 URHS FY2025"""</f>
        <v>"GP","Ute Indian Tribe Membership Fund","aaa_contract_detail_sp","JRNENTRY","1579569","aaGLHdrID","1747458","aaGLDistID","23","aaGLAssignID","1","contract","3460 92 URHS FY2025"</v>
      </c>
      <c r="L357" s="44">
        <v>45645</v>
      </c>
      <c r="M357" s="31">
        <v>1579569</v>
      </c>
      <c r="N357" s="31" t="str">
        <f>""</f>
        <v/>
      </c>
      <c r="O357" s="31" t="str">
        <f>""</f>
        <v/>
      </c>
      <c r="P357" s="31" t="str">
        <f>""</f>
        <v/>
      </c>
      <c r="Q357" s="45" t="str">
        <f>""</f>
        <v/>
      </c>
      <c r="R357" s="46">
        <v>1505.58</v>
      </c>
      <c r="S357" s="46">
        <v>0</v>
      </c>
      <c r="T357" s="47">
        <f t="shared" si="21"/>
        <v>1505.58</v>
      </c>
    </row>
    <row r="358" spans="1:20" s="31" customFormat="1" x14ac:dyDescent="0.25">
      <c r="A358" s="25" t="s">
        <v>25</v>
      </c>
      <c r="B358" s="42"/>
      <c r="C358" s="42"/>
      <c r="D358" s="25"/>
      <c r="E358" s="25"/>
      <c r="F358" s="42" t="e">
        <f t="shared" si="20"/>
        <v>#REF!</v>
      </c>
      <c r="G358" s="42" t="e">
        <f t="shared" si="20"/>
        <v>#REF!</v>
      </c>
      <c r="H358" s="43"/>
      <c r="K358" s="31" t="str">
        <f>"""GP"",""Ute Indian Tribe Membership Fund"",""aaa_contract_detail_sp"",""JRNENTRY"",""1579589"",""aaGLHdrID"",""1747478"",""aaGLDistID"",""24"",""aaGLAssignID"",""1"",""contract"",""3460 92 URHS FY2025"""</f>
        <v>"GP","Ute Indian Tribe Membership Fund","aaa_contract_detail_sp","JRNENTRY","1579589","aaGLHdrID","1747478","aaGLDistID","24","aaGLAssignID","1","contract","3460 92 URHS FY2025"</v>
      </c>
      <c r="L358" s="44">
        <v>45645</v>
      </c>
      <c r="M358" s="31">
        <v>1579589</v>
      </c>
      <c r="N358" s="31" t="str">
        <f>""</f>
        <v/>
      </c>
      <c r="O358" s="31" t="str">
        <f>""</f>
        <v/>
      </c>
      <c r="P358" s="31" t="str">
        <f>""</f>
        <v/>
      </c>
      <c r="Q358" s="45" t="str">
        <f>""</f>
        <v/>
      </c>
      <c r="R358" s="46">
        <v>378.67</v>
      </c>
      <c r="S358" s="46">
        <v>0</v>
      </c>
      <c r="T358" s="47">
        <f t="shared" si="21"/>
        <v>378.67</v>
      </c>
    </row>
    <row r="359" spans="1:20" s="31" customFormat="1" x14ac:dyDescent="0.25">
      <c r="A359" s="25" t="s">
        <v>25</v>
      </c>
      <c r="B359" s="42"/>
      <c r="C359" s="42"/>
      <c r="D359" s="25"/>
      <c r="E359" s="25"/>
      <c r="F359" s="42" t="e">
        <f t="shared" si="20"/>
        <v>#REF!</v>
      </c>
      <c r="G359" s="42" t="e">
        <f t="shared" si="20"/>
        <v>#REF!</v>
      </c>
      <c r="H359" s="43"/>
      <c r="K359" s="31" t="str">
        <f>"""GP"",""Ute Indian Tribe Membership Fund"",""aaa_contract_detail_sp"",""JRNENTRY"",""1579661"",""aaGLHdrID"",""1747550"",""aaGLDistID"",""19"",""aaGLAssignID"",""1"",""contract"",""3460 92 URHS FY2025"""</f>
        <v>"GP","Ute Indian Tribe Membership Fund","aaa_contract_detail_sp","JRNENTRY","1579661","aaGLHdrID","1747550","aaGLDistID","19","aaGLAssignID","1","contract","3460 92 URHS FY2025"</v>
      </c>
      <c r="L359" s="44">
        <v>45645</v>
      </c>
      <c r="M359" s="31">
        <v>1579661</v>
      </c>
      <c r="N359" s="31" t="str">
        <f>""</f>
        <v/>
      </c>
      <c r="O359" s="31" t="str">
        <f>""</f>
        <v/>
      </c>
      <c r="P359" s="31" t="str">
        <f>""</f>
        <v/>
      </c>
      <c r="Q359" s="45" t="str">
        <f>""</f>
        <v/>
      </c>
      <c r="R359" s="46">
        <v>361.57</v>
      </c>
      <c r="S359" s="46">
        <v>0</v>
      </c>
      <c r="T359" s="47">
        <f t="shared" si="21"/>
        <v>361.57</v>
      </c>
    </row>
    <row r="360" spans="1:20" s="31" customFormat="1" x14ac:dyDescent="0.25">
      <c r="A360" s="25" t="s">
        <v>25</v>
      </c>
      <c r="B360" s="42"/>
      <c r="C360" s="42"/>
      <c r="D360" s="25"/>
      <c r="E360" s="25"/>
      <c r="F360" s="42" t="e">
        <f t="shared" si="20"/>
        <v>#REF!</v>
      </c>
      <c r="G360" s="42" t="e">
        <f t="shared" si="20"/>
        <v>#REF!</v>
      </c>
      <c r="H360" s="43"/>
      <c r="K360" s="31" t="str">
        <f>"""GP"",""Ute Indian Tribe Membership Fund"",""aaa_contract_detail_sp"",""JRNENTRY"",""1579662"",""aaGLHdrID"",""1747551"",""aaGLDistID"",""20"",""aaGLAssignID"",""1"",""contract"",""3460 92 URHS FY2025"""</f>
        <v>"GP","Ute Indian Tribe Membership Fund","aaa_contract_detail_sp","JRNENTRY","1579662","aaGLHdrID","1747551","aaGLDistID","20","aaGLAssignID","1","contract","3460 92 URHS FY2025"</v>
      </c>
      <c r="L360" s="44">
        <v>45645</v>
      </c>
      <c r="M360" s="31">
        <v>1579662</v>
      </c>
      <c r="N360" s="31" t="str">
        <f>""</f>
        <v/>
      </c>
      <c r="O360" s="31" t="str">
        <f>""</f>
        <v/>
      </c>
      <c r="P360" s="31" t="str">
        <f>""</f>
        <v/>
      </c>
      <c r="Q360" s="45" t="str">
        <f>""</f>
        <v/>
      </c>
      <c r="R360" s="46">
        <v>187.14</v>
      </c>
      <c r="S360" s="46">
        <v>0</v>
      </c>
      <c r="T360" s="47">
        <f t="shared" si="21"/>
        <v>187.14</v>
      </c>
    </row>
    <row r="361" spans="1:20" s="31" customFormat="1" x14ac:dyDescent="0.25">
      <c r="A361" s="25" t="s">
        <v>25</v>
      </c>
      <c r="B361" s="42"/>
      <c r="C361" s="42"/>
      <c r="D361" s="25"/>
      <c r="E361" s="25"/>
      <c r="F361" s="42" t="e">
        <f t="shared" si="20"/>
        <v>#REF!</v>
      </c>
      <c r="G361" s="42" t="e">
        <f t="shared" si="20"/>
        <v>#REF!</v>
      </c>
      <c r="H361" s="43"/>
      <c r="K361" s="31" t="str">
        <f>"""GP"",""Ute Indian Tribe Membership Fund"",""aaa_contract_detail_sp"",""JRNENTRY"",""1579662"",""aaGLHdrID"",""1747551"",""aaGLDistID"",""21"",""aaGLAssignID"",""1"",""contract"",""3460 92 URHS FY2025"""</f>
        <v>"GP","Ute Indian Tribe Membership Fund","aaa_contract_detail_sp","JRNENTRY","1579662","aaGLHdrID","1747551","aaGLDistID","21","aaGLAssignID","1","contract","3460 92 URHS FY2025"</v>
      </c>
      <c r="L361" s="44">
        <v>45645</v>
      </c>
      <c r="M361" s="31">
        <v>1579662</v>
      </c>
      <c r="N361" s="31" t="str">
        <f>""</f>
        <v/>
      </c>
      <c r="O361" s="31" t="str">
        <f>""</f>
        <v/>
      </c>
      <c r="P361" s="31" t="str">
        <f>""</f>
        <v/>
      </c>
      <c r="Q361" s="45" t="str">
        <f>""</f>
        <v/>
      </c>
      <c r="R361" s="46">
        <v>374.29</v>
      </c>
      <c r="S361" s="46">
        <v>0</v>
      </c>
      <c r="T361" s="47">
        <f t="shared" si="21"/>
        <v>374.29</v>
      </c>
    </row>
    <row r="362" spans="1:20" s="31" customFormat="1" x14ac:dyDescent="0.25">
      <c r="A362" s="25" t="s">
        <v>25</v>
      </c>
      <c r="B362" s="42"/>
      <c r="C362" s="42"/>
      <c r="D362" s="25"/>
      <c r="E362" s="25"/>
      <c r="F362" s="42" t="e">
        <f t="shared" si="20"/>
        <v>#REF!</v>
      </c>
      <c r="G362" s="42" t="e">
        <f t="shared" si="20"/>
        <v>#REF!</v>
      </c>
      <c r="H362" s="43"/>
      <c r="K362" s="31" t="str">
        <f>"""GP"",""Ute Indian Tribe Membership Fund"",""aaa_contract_detail_sp"",""JRNENTRY"",""1579667"",""aaGLHdrID"",""1747556"",""aaGLDistID"",""22"",""aaGLAssignID"",""1"",""contract"",""3460 92 URHS FY2025"""</f>
        <v>"GP","Ute Indian Tribe Membership Fund","aaa_contract_detail_sp","JRNENTRY","1579667","aaGLHdrID","1747556","aaGLDistID","22","aaGLAssignID","1","contract","3460 92 URHS FY2025"</v>
      </c>
      <c r="L362" s="44">
        <v>45645</v>
      </c>
      <c r="M362" s="31">
        <v>1579667</v>
      </c>
      <c r="N362" s="31" t="str">
        <f>""</f>
        <v/>
      </c>
      <c r="O362" s="31" t="str">
        <f>""</f>
        <v/>
      </c>
      <c r="P362" s="31" t="str">
        <f>""</f>
        <v/>
      </c>
      <c r="Q362" s="45" t="str">
        <f>""</f>
        <v/>
      </c>
      <c r="R362" s="46">
        <v>222.42</v>
      </c>
      <c r="S362" s="46">
        <v>0</v>
      </c>
      <c r="T362" s="47">
        <f t="shared" si="21"/>
        <v>222.42</v>
      </c>
    </row>
    <row r="363" spans="1:20" s="31" customFormat="1" x14ac:dyDescent="0.25">
      <c r="A363" s="25" t="s">
        <v>25</v>
      </c>
      <c r="B363" s="42"/>
      <c r="C363" s="42"/>
      <c r="D363" s="25"/>
      <c r="E363" s="25"/>
      <c r="F363" s="42" t="e">
        <f t="shared" si="20"/>
        <v>#REF!</v>
      </c>
      <c r="G363" s="42" t="e">
        <f t="shared" si="20"/>
        <v>#REF!</v>
      </c>
      <c r="H363" s="43"/>
      <c r="K363" s="31" t="str">
        <f>"""GP"",""Ute Indian Tribe Membership Fund"",""aaa_contract_detail_sp"",""JRNENTRY"",""1579667"",""aaGLHdrID"",""1747556"",""aaGLDistID"",""23"",""aaGLAssignID"",""1"",""contract"",""3460 92 URHS FY2025"""</f>
        <v>"GP","Ute Indian Tribe Membership Fund","aaa_contract_detail_sp","JRNENTRY","1579667","aaGLHdrID","1747556","aaGLDistID","23","aaGLAssignID","1","contract","3460 92 URHS FY2025"</v>
      </c>
      <c r="L363" s="44">
        <v>45645</v>
      </c>
      <c r="M363" s="31">
        <v>1579667</v>
      </c>
      <c r="N363" s="31" t="str">
        <f>""</f>
        <v/>
      </c>
      <c r="O363" s="31" t="str">
        <f>""</f>
        <v/>
      </c>
      <c r="P363" s="31" t="str">
        <f>""</f>
        <v/>
      </c>
      <c r="Q363" s="45" t="str">
        <f>""</f>
        <v/>
      </c>
      <c r="R363" s="46">
        <v>444.85</v>
      </c>
      <c r="S363" s="46">
        <v>0</v>
      </c>
      <c r="T363" s="47">
        <f t="shared" si="21"/>
        <v>444.85</v>
      </c>
    </row>
    <row r="364" spans="1:20" s="31" customFormat="1" x14ac:dyDescent="0.25">
      <c r="A364" s="25" t="s">
        <v>25</v>
      </c>
      <c r="B364" s="42"/>
      <c r="C364" s="42"/>
      <c r="D364" s="25"/>
      <c r="E364" s="25"/>
      <c r="F364" s="42" t="e">
        <f t="shared" si="20"/>
        <v>#REF!</v>
      </c>
      <c r="G364" s="42" t="e">
        <f t="shared" si="20"/>
        <v>#REF!</v>
      </c>
      <c r="H364" s="43"/>
      <c r="K364" s="31" t="str">
        <f>"""GP"",""Ute Indian Tribe Membership Fund"",""aaa_contract_detail_sp"",""JRNENTRY"",""1579700"",""aaGLHdrID"",""1747589"",""aaGLDistID"",""21"",""aaGLAssignID"",""1"",""contract"",""3460 92 URHS FY2025"""</f>
        <v>"GP","Ute Indian Tribe Membership Fund","aaa_contract_detail_sp","JRNENTRY","1579700","aaGLHdrID","1747589","aaGLDistID","21","aaGLAssignID","1","contract","3460 92 URHS FY2025"</v>
      </c>
      <c r="L364" s="44">
        <v>45645</v>
      </c>
      <c r="M364" s="31">
        <v>1579700</v>
      </c>
      <c r="N364" s="31" t="str">
        <f>""</f>
        <v/>
      </c>
      <c r="O364" s="31" t="str">
        <f>""</f>
        <v/>
      </c>
      <c r="P364" s="31" t="str">
        <f>""</f>
        <v/>
      </c>
      <c r="Q364" s="45" t="str">
        <f>""</f>
        <v/>
      </c>
      <c r="R364" s="46">
        <v>303.57</v>
      </c>
      <c r="S364" s="46">
        <v>0</v>
      </c>
      <c r="T364" s="47">
        <f t="shared" si="21"/>
        <v>303.57</v>
      </c>
    </row>
    <row r="365" spans="1:20" s="31" customFormat="1" x14ac:dyDescent="0.25">
      <c r="A365" s="25" t="s">
        <v>25</v>
      </c>
      <c r="B365" s="42"/>
      <c r="C365" s="42"/>
      <c r="D365" s="25"/>
      <c r="E365" s="25"/>
      <c r="F365" s="42" t="e">
        <f t="shared" ref="F365:G385" si="22">F364</f>
        <v>#REF!</v>
      </c>
      <c r="G365" s="42" t="e">
        <f t="shared" si="22"/>
        <v>#REF!</v>
      </c>
      <c r="H365" s="43"/>
      <c r="K365" s="31" t="str">
        <f>"""GP"",""Ute Indian Tribe Membership Fund"",""aaa_contract_detail_sp"",""JRNENTRY"",""1579707"",""aaGLHdrID"",""1747596"",""aaGLDistID"",""19"",""aaGLAssignID"",""1"",""contract"",""3460 92 URHS FY2025"""</f>
        <v>"GP","Ute Indian Tribe Membership Fund","aaa_contract_detail_sp","JRNENTRY","1579707","aaGLHdrID","1747596","aaGLDistID","19","aaGLAssignID","1","contract","3460 92 URHS FY2025"</v>
      </c>
      <c r="L365" s="44">
        <v>45645</v>
      </c>
      <c r="M365" s="31">
        <v>1579707</v>
      </c>
      <c r="N365" s="31" t="str">
        <f>""</f>
        <v/>
      </c>
      <c r="O365" s="31" t="str">
        <f>""</f>
        <v/>
      </c>
      <c r="P365" s="31" t="str">
        <f>""</f>
        <v/>
      </c>
      <c r="Q365" s="45" t="str">
        <f>""</f>
        <v/>
      </c>
      <c r="R365" s="46">
        <v>320.33999999999997</v>
      </c>
      <c r="S365" s="46">
        <v>0</v>
      </c>
      <c r="T365" s="47">
        <f t="shared" si="21"/>
        <v>320.33999999999997</v>
      </c>
    </row>
    <row r="366" spans="1:20" s="31" customFormat="1" x14ac:dyDescent="0.25">
      <c r="A366" s="25" t="s">
        <v>25</v>
      </c>
      <c r="B366" s="42"/>
      <c r="C366" s="42"/>
      <c r="D366" s="25"/>
      <c r="E366" s="25"/>
      <c r="F366" s="42" t="e">
        <f t="shared" si="22"/>
        <v>#REF!</v>
      </c>
      <c r="G366" s="42" t="e">
        <f t="shared" si="22"/>
        <v>#REF!</v>
      </c>
      <c r="H366" s="43"/>
      <c r="K366" s="31" t="str">
        <f>"""GP"",""Ute Indian Tribe Membership Fund"",""aaa_contract_detail_sp"",""JRNENTRY"",""1579708"",""aaGLHdrID"",""1747597"",""aaGLDistID"",""17"",""aaGLAssignID"",""1"",""contract"",""3460 92 URHS FY2025"""</f>
        <v>"GP","Ute Indian Tribe Membership Fund","aaa_contract_detail_sp","JRNENTRY","1579708","aaGLHdrID","1747597","aaGLDistID","17","aaGLAssignID","1","contract","3460 92 URHS FY2025"</v>
      </c>
      <c r="L366" s="44">
        <v>45645</v>
      </c>
      <c r="M366" s="31">
        <v>1579708</v>
      </c>
      <c r="N366" s="31" t="str">
        <f>""</f>
        <v/>
      </c>
      <c r="O366" s="31" t="str">
        <f>""</f>
        <v/>
      </c>
      <c r="P366" s="31" t="str">
        <f>""</f>
        <v/>
      </c>
      <c r="Q366" s="45" t="str">
        <f>""</f>
        <v/>
      </c>
      <c r="R366" s="46">
        <v>331.25</v>
      </c>
      <c r="S366" s="46">
        <v>0</v>
      </c>
      <c r="T366" s="47">
        <f t="shared" si="21"/>
        <v>331.25</v>
      </c>
    </row>
    <row r="367" spans="1:20" s="31" customFormat="1" x14ac:dyDescent="0.25">
      <c r="A367" s="25" t="s">
        <v>25</v>
      </c>
      <c r="B367" s="42"/>
      <c r="C367" s="42"/>
      <c r="D367" s="25"/>
      <c r="E367" s="25"/>
      <c r="F367" s="42" t="e">
        <f t="shared" si="22"/>
        <v>#REF!</v>
      </c>
      <c r="G367" s="42" t="e">
        <f t="shared" si="22"/>
        <v>#REF!</v>
      </c>
      <c r="H367" s="43"/>
      <c r="K367" s="31" t="str">
        <f>"""GP"",""Ute Indian Tribe Membership Fund"",""aaa_contract_detail_sp"",""JRNENTRY"",""1579708"",""aaGLHdrID"",""1747597"",""aaGLDistID"",""18"",""aaGLAssignID"",""1"",""contract"",""3460 92 URHS FY2025"""</f>
        <v>"GP","Ute Indian Tribe Membership Fund","aaa_contract_detail_sp","JRNENTRY","1579708","aaGLHdrID","1747597","aaGLDistID","18","aaGLAssignID","1","contract","3460 92 URHS FY2025"</v>
      </c>
      <c r="L367" s="44">
        <v>45645</v>
      </c>
      <c r="M367" s="31">
        <v>1579708</v>
      </c>
      <c r="N367" s="31" t="str">
        <f>""</f>
        <v/>
      </c>
      <c r="O367" s="31" t="str">
        <f>""</f>
        <v/>
      </c>
      <c r="P367" s="31" t="str">
        <f>""</f>
        <v/>
      </c>
      <c r="Q367" s="45" t="str">
        <f>""</f>
        <v/>
      </c>
      <c r="R367" s="46">
        <v>165.62</v>
      </c>
      <c r="S367" s="46">
        <v>0</v>
      </c>
      <c r="T367" s="47">
        <f t="shared" si="21"/>
        <v>165.62</v>
      </c>
    </row>
    <row r="368" spans="1:20" s="31" customFormat="1" x14ac:dyDescent="0.25">
      <c r="A368" s="25" t="s">
        <v>25</v>
      </c>
      <c r="B368" s="42"/>
      <c r="C368" s="42"/>
      <c r="D368" s="25"/>
      <c r="E368" s="25"/>
      <c r="F368" s="42" t="e">
        <f t="shared" si="22"/>
        <v>#REF!</v>
      </c>
      <c r="G368" s="42" t="e">
        <f t="shared" si="22"/>
        <v>#REF!</v>
      </c>
      <c r="H368" s="43"/>
      <c r="K368" s="31" t="str">
        <f>"""GP"",""Ute Indian Tribe Membership Fund"",""aaa_contract_detail_sp"",""JRNENTRY"",""1579799"",""aaGLHdrID"",""1747688"",""aaGLDistID"",""18"",""aaGLAssignID"",""1"",""contract"",""3460 92 URHS FY2025"""</f>
        <v>"GP","Ute Indian Tribe Membership Fund","aaa_contract_detail_sp","JRNENTRY","1579799","aaGLHdrID","1747688","aaGLDistID","18","aaGLAssignID","1","contract","3460 92 URHS FY2025"</v>
      </c>
      <c r="L368" s="44">
        <v>45645</v>
      </c>
      <c r="M368" s="31">
        <v>1579799</v>
      </c>
      <c r="N368" s="31" t="str">
        <f>""</f>
        <v/>
      </c>
      <c r="O368" s="31" t="str">
        <f>""</f>
        <v/>
      </c>
      <c r="P368" s="31" t="str">
        <f>""</f>
        <v/>
      </c>
      <c r="Q368" s="45" t="str">
        <f>""</f>
        <v/>
      </c>
      <c r="R368" s="46">
        <v>151.82</v>
      </c>
      <c r="S368" s="46">
        <v>0</v>
      </c>
      <c r="T368" s="47">
        <f t="shared" si="21"/>
        <v>151.82</v>
      </c>
    </row>
    <row r="369" spans="1:20" s="31" customFormat="1" x14ac:dyDescent="0.25">
      <c r="A369" s="25" t="s">
        <v>25</v>
      </c>
      <c r="B369" s="42"/>
      <c r="C369" s="42"/>
      <c r="D369" s="25"/>
      <c r="E369" s="25"/>
      <c r="F369" s="42" t="e">
        <f t="shared" si="22"/>
        <v>#REF!</v>
      </c>
      <c r="G369" s="42" t="e">
        <f t="shared" si="22"/>
        <v>#REF!</v>
      </c>
      <c r="H369" s="43"/>
      <c r="K369" s="31" t="str">
        <f>"""GP"",""Ute Indian Tribe Membership Fund"",""aaa_contract_detail_sp"",""JRNENTRY"",""1579883"",""aaGLHdrID"",""1747772"",""aaGLDistID"",""20"",""aaGLAssignID"",""1"",""contract"",""3460 92 URHS FY2025"""</f>
        <v>"GP","Ute Indian Tribe Membership Fund","aaa_contract_detail_sp","JRNENTRY","1579883","aaGLHdrID","1747772","aaGLDistID","20","aaGLAssignID","1","contract","3460 92 URHS FY2025"</v>
      </c>
      <c r="L369" s="44">
        <v>45645</v>
      </c>
      <c r="M369" s="31">
        <v>1579883</v>
      </c>
      <c r="N369" s="31" t="str">
        <f>""</f>
        <v/>
      </c>
      <c r="O369" s="31" t="str">
        <f>""</f>
        <v/>
      </c>
      <c r="P369" s="31" t="str">
        <f>""</f>
        <v/>
      </c>
      <c r="Q369" s="45" t="str">
        <f>""</f>
        <v/>
      </c>
      <c r="R369" s="46">
        <v>94.32</v>
      </c>
      <c r="S369" s="46">
        <v>0</v>
      </c>
      <c r="T369" s="47">
        <f t="shared" si="21"/>
        <v>94.32</v>
      </c>
    </row>
    <row r="370" spans="1:20" s="31" customFormat="1" x14ac:dyDescent="0.25">
      <c r="A370" s="25" t="s">
        <v>25</v>
      </c>
      <c r="B370" s="42"/>
      <c r="C370" s="42"/>
      <c r="D370" s="25"/>
      <c r="E370" s="25"/>
      <c r="F370" s="42" t="e">
        <f t="shared" si="22"/>
        <v>#REF!</v>
      </c>
      <c r="G370" s="42" t="e">
        <f t="shared" si="22"/>
        <v>#REF!</v>
      </c>
      <c r="H370" s="43"/>
      <c r="K370" s="31" t="str">
        <f>"""GP"",""Ute Indian Tribe Membership Fund"",""aaa_contract_detail_sp"",""JRNENTRY"",""1580575"",""aaGLHdrID"",""1748314"",""aaGLDistID"",""19"",""aaGLAssignID"",""1"",""contract"",""3460 92 URHS FY2025"""</f>
        <v>"GP","Ute Indian Tribe Membership Fund","aaa_contract_detail_sp","JRNENTRY","1580575","aaGLHdrID","1748314","aaGLDistID","19","aaGLAssignID","1","contract","3460 92 URHS FY2025"</v>
      </c>
      <c r="L370" s="44">
        <v>45656</v>
      </c>
      <c r="M370" s="31">
        <v>1580575</v>
      </c>
      <c r="N370" s="31" t="str">
        <f>""</f>
        <v/>
      </c>
      <c r="O370" s="31" t="str">
        <f>""</f>
        <v/>
      </c>
      <c r="P370" s="31" t="str">
        <f>""</f>
        <v/>
      </c>
      <c r="Q370" s="45" t="str">
        <f>""</f>
        <v/>
      </c>
      <c r="R370" s="46">
        <v>238.66</v>
      </c>
      <c r="S370" s="46">
        <v>0</v>
      </c>
      <c r="T370" s="47">
        <f t="shared" si="21"/>
        <v>238.66</v>
      </c>
    </row>
    <row r="371" spans="1:20" s="31" customFormat="1" x14ac:dyDescent="0.25">
      <c r="A371" s="25" t="s">
        <v>25</v>
      </c>
      <c r="B371" s="42"/>
      <c r="C371" s="42"/>
      <c r="D371" s="25"/>
      <c r="E371" s="25"/>
      <c r="F371" s="42" t="e">
        <f t="shared" si="22"/>
        <v>#REF!</v>
      </c>
      <c r="G371" s="42" t="e">
        <f t="shared" si="22"/>
        <v>#REF!</v>
      </c>
      <c r="H371" s="43"/>
      <c r="K371" s="31" t="str">
        <f>"""GP"",""Ute Indian Tribe Membership Fund"",""aaa_contract_detail_sp"",""JRNENTRY"",""1580575"",""aaGLHdrID"",""1748314"",""aaGLDistID"",""20"",""aaGLAssignID"",""1"",""contract"",""3460 92 URHS FY2025"""</f>
        <v>"GP","Ute Indian Tribe Membership Fund","aaa_contract_detail_sp","JRNENTRY","1580575","aaGLHdrID","1748314","aaGLDistID","20","aaGLAssignID","1","contract","3460 92 URHS FY2025"</v>
      </c>
      <c r="L371" s="44">
        <v>45656</v>
      </c>
      <c r="M371" s="31">
        <v>1580575</v>
      </c>
      <c r="N371" s="31" t="str">
        <f>""</f>
        <v/>
      </c>
      <c r="O371" s="31" t="str">
        <f>""</f>
        <v/>
      </c>
      <c r="P371" s="31" t="str">
        <f>""</f>
        <v/>
      </c>
      <c r="Q371" s="45" t="str">
        <f>""</f>
        <v/>
      </c>
      <c r="R371" s="46">
        <v>119.33</v>
      </c>
      <c r="S371" s="46">
        <v>0</v>
      </c>
      <c r="T371" s="47">
        <f t="shared" si="21"/>
        <v>119.33</v>
      </c>
    </row>
    <row r="372" spans="1:20" s="31" customFormat="1" x14ac:dyDescent="0.25">
      <c r="A372" s="25" t="s">
        <v>25</v>
      </c>
      <c r="B372" s="42"/>
      <c r="C372" s="42"/>
      <c r="D372" s="25"/>
      <c r="E372" s="25"/>
      <c r="F372" s="42" t="e">
        <f t="shared" si="22"/>
        <v>#REF!</v>
      </c>
      <c r="G372" s="42" t="e">
        <f t="shared" si="22"/>
        <v>#REF!</v>
      </c>
      <c r="H372" s="43"/>
      <c r="K372" s="31" t="str">
        <f>"""GP"",""Ute Indian Tribe Membership Fund"",""aaa_contract_detail_sp"",""JRNENTRY"",""1580641"",""aaGLHdrID"",""1748380"",""aaGLDistID"",""21"",""aaGLAssignID"",""1"",""contract"",""3460 92 URHS FY2025"""</f>
        <v>"GP","Ute Indian Tribe Membership Fund","aaa_contract_detail_sp","JRNENTRY","1580641","aaGLHdrID","1748380","aaGLDistID","21","aaGLAssignID","1","contract","3460 92 URHS FY2025"</v>
      </c>
      <c r="L372" s="44">
        <v>45656</v>
      </c>
      <c r="M372" s="31">
        <v>1580641</v>
      </c>
      <c r="N372" s="31" t="str">
        <f>""</f>
        <v/>
      </c>
      <c r="O372" s="31" t="str">
        <f>""</f>
        <v/>
      </c>
      <c r="P372" s="31" t="str">
        <f>""</f>
        <v/>
      </c>
      <c r="Q372" s="45" t="str">
        <f>""</f>
        <v/>
      </c>
      <c r="R372" s="46">
        <v>158.32</v>
      </c>
      <c r="S372" s="46">
        <v>0</v>
      </c>
      <c r="T372" s="47">
        <f t="shared" si="21"/>
        <v>158.32</v>
      </c>
    </row>
    <row r="373" spans="1:20" s="31" customFormat="1" x14ac:dyDescent="0.25">
      <c r="A373" s="25" t="s">
        <v>25</v>
      </c>
      <c r="B373" s="42"/>
      <c r="C373" s="42"/>
      <c r="D373" s="25"/>
      <c r="E373" s="25"/>
      <c r="F373" s="42" t="e">
        <f t="shared" si="22"/>
        <v>#REF!</v>
      </c>
      <c r="G373" s="42" t="e">
        <f t="shared" si="22"/>
        <v>#REF!</v>
      </c>
      <c r="H373" s="43"/>
      <c r="K373" s="31" t="str">
        <f>"""GP"",""Ute Indian Tribe Membership Fund"",""aaa_contract_detail_sp"",""JRNENTRY"",""1580641"",""aaGLHdrID"",""1748380"",""aaGLDistID"",""22"",""aaGLAssignID"",""1"",""contract"",""3460 92 URHS FY2025"""</f>
        <v>"GP","Ute Indian Tribe Membership Fund","aaa_contract_detail_sp","JRNENTRY","1580641","aaGLHdrID","1748380","aaGLDistID","22","aaGLAssignID","1","contract","3460 92 URHS FY2025"</v>
      </c>
      <c r="L373" s="44">
        <v>45656</v>
      </c>
      <c r="M373" s="31">
        <v>1580641</v>
      </c>
      <c r="N373" s="31" t="str">
        <f>""</f>
        <v/>
      </c>
      <c r="O373" s="31" t="str">
        <f>""</f>
        <v/>
      </c>
      <c r="P373" s="31" t="str">
        <f>""</f>
        <v/>
      </c>
      <c r="Q373" s="45" t="str">
        <f>""</f>
        <v/>
      </c>
      <c r="R373" s="46">
        <v>316.64</v>
      </c>
      <c r="S373" s="46">
        <v>0</v>
      </c>
      <c r="T373" s="47">
        <f t="shared" si="21"/>
        <v>316.64</v>
      </c>
    </row>
    <row r="374" spans="1:20" s="31" customFormat="1" x14ac:dyDescent="0.25">
      <c r="A374" s="25" t="s">
        <v>25</v>
      </c>
      <c r="B374" s="42"/>
      <c r="C374" s="42"/>
      <c r="D374" s="25"/>
      <c r="E374" s="25"/>
      <c r="F374" s="42" t="e">
        <f t="shared" si="22"/>
        <v>#REF!</v>
      </c>
      <c r="G374" s="42" t="e">
        <f t="shared" si="22"/>
        <v>#REF!</v>
      </c>
      <c r="H374" s="43"/>
      <c r="K374" s="31" t="str">
        <f>"""GP"",""Ute Indian Tribe Membership Fund"",""aaa_contract_detail_sp"",""JRNENTRY"",""1580661"",""aaGLHdrID"",""1748400"",""aaGLDistID"",""23"",""aaGLAssignID"",""1"",""contract"",""3460 92 URHS FY2025"""</f>
        <v>"GP","Ute Indian Tribe Membership Fund","aaa_contract_detail_sp","JRNENTRY","1580661","aaGLHdrID","1748400","aaGLDistID","23","aaGLAssignID","1","contract","3460 92 URHS FY2025"</v>
      </c>
      <c r="L374" s="44">
        <v>45656</v>
      </c>
      <c r="M374" s="31">
        <v>1580661</v>
      </c>
      <c r="N374" s="31" t="str">
        <f>""</f>
        <v/>
      </c>
      <c r="O374" s="31" t="str">
        <f>""</f>
        <v/>
      </c>
      <c r="P374" s="31" t="str">
        <f>""</f>
        <v/>
      </c>
      <c r="Q374" s="45" t="str">
        <f>""</f>
        <v/>
      </c>
      <c r="R374" s="46">
        <v>302.43</v>
      </c>
      <c r="S374" s="46">
        <v>0</v>
      </c>
      <c r="T374" s="47">
        <f t="shared" si="21"/>
        <v>302.43</v>
      </c>
    </row>
    <row r="375" spans="1:20" s="31" customFormat="1" x14ac:dyDescent="0.25">
      <c r="A375" s="25" t="s">
        <v>25</v>
      </c>
      <c r="B375" s="42"/>
      <c r="C375" s="42"/>
      <c r="D375" s="25"/>
      <c r="E375" s="25"/>
      <c r="F375" s="42" t="e">
        <f t="shared" si="22"/>
        <v>#REF!</v>
      </c>
      <c r="G375" s="42" t="e">
        <f t="shared" si="22"/>
        <v>#REF!</v>
      </c>
      <c r="H375" s="43"/>
      <c r="K375" s="31" t="str">
        <f>"""GP"",""Ute Indian Tribe Membership Fund"",""aaa_contract_detail_sp"",""JRNENTRY"",""1580731"",""aaGLHdrID"",""1748470"",""aaGLDistID"",""18"",""aaGLAssignID"",""1"",""contract"",""3460 92 URHS FY2025"""</f>
        <v>"GP","Ute Indian Tribe Membership Fund","aaa_contract_detail_sp","JRNENTRY","1580731","aaGLHdrID","1748470","aaGLDistID","18","aaGLAssignID","1","contract","3460 92 URHS FY2025"</v>
      </c>
      <c r="L375" s="44">
        <v>45656</v>
      </c>
      <c r="M375" s="31">
        <v>1580731</v>
      </c>
      <c r="N375" s="31" t="str">
        <f>""</f>
        <v/>
      </c>
      <c r="O375" s="31" t="str">
        <f>""</f>
        <v/>
      </c>
      <c r="P375" s="31" t="str">
        <f>""</f>
        <v/>
      </c>
      <c r="Q375" s="45" t="str">
        <f>""</f>
        <v/>
      </c>
      <c r="R375" s="46">
        <v>288.22000000000003</v>
      </c>
      <c r="S375" s="46">
        <v>0</v>
      </c>
      <c r="T375" s="47">
        <f t="shared" si="21"/>
        <v>288.22000000000003</v>
      </c>
    </row>
    <row r="376" spans="1:20" s="31" customFormat="1" x14ac:dyDescent="0.25">
      <c r="A376" s="25" t="s">
        <v>25</v>
      </c>
      <c r="B376" s="42"/>
      <c r="C376" s="42"/>
      <c r="D376" s="25"/>
      <c r="E376" s="25"/>
      <c r="F376" s="42" t="e">
        <f t="shared" si="22"/>
        <v>#REF!</v>
      </c>
      <c r="G376" s="42" t="e">
        <f t="shared" si="22"/>
        <v>#REF!</v>
      </c>
      <c r="H376" s="43"/>
      <c r="K376" s="31" t="str">
        <f>"""GP"",""Ute Indian Tribe Membership Fund"",""aaa_contract_detail_sp"",""JRNENTRY"",""1580732"",""aaGLHdrID"",""1748471"",""aaGLDistID"",""20"",""aaGLAssignID"",""1"",""contract"",""3460 92 URHS FY2025"""</f>
        <v>"GP","Ute Indian Tribe Membership Fund","aaa_contract_detail_sp","JRNENTRY","1580732","aaGLHdrID","1748471","aaGLDistID","20","aaGLAssignID","1","contract","3460 92 URHS FY2025"</v>
      </c>
      <c r="L376" s="44">
        <v>45656</v>
      </c>
      <c r="M376" s="31">
        <v>1580732</v>
      </c>
      <c r="N376" s="31" t="str">
        <f>""</f>
        <v/>
      </c>
      <c r="O376" s="31" t="str">
        <f>""</f>
        <v/>
      </c>
      <c r="P376" s="31" t="str">
        <f>""</f>
        <v/>
      </c>
      <c r="Q376" s="45" t="str">
        <f>""</f>
        <v/>
      </c>
      <c r="R376" s="46">
        <v>170.9</v>
      </c>
      <c r="S376" s="46">
        <v>0</v>
      </c>
      <c r="T376" s="47">
        <f t="shared" si="21"/>
        <v>170.9</v>
      </c>
    </row>
    <row r="377" spans="1:20" s="31" customFormat="1" x14ac:dyDescent="0.25">
      <c r="A377" s="25" t="s">
        <v>25</v>
      </c>
      <c r="B377" s="42"/>
      <c r="C377" s="42"/>
      <c r="D377" s="25"/>
      <c r="E377" s="25"/>
      <c r="F377" s="42" t="e">
        <f t="shared" si="22"/>
        <v>#REF!</v>
      </c>
      <c r="G377" s="42" t="e">
        <f t="shared" si="22"/>
        <v>#REF!</v>
      </c>
      <c r="H377" s="43"/>
      <c r="K377" s="31" t="str">
        <f>"""GP"",""Ute Indian Tribe Membership Fund"",""aaa_contract_detail_sp"",""JRNENTRY"",""1580732"",""aaGLHdrID"",""1748471"",""aaGLDistID"",""21"",""aaGLAssignID"",""1"",""contract"",""3460 92 URHS FY2025"""</f>
        <v>"GP","Ute Indian Tribe Membership Fund","aaa_contract_detail_sp","JRNENTRY","1580732","aaGLHdrID","1748471","aaGLDistID","21","aaGLAssignID","1","contract","3460 92 URHS FY2025"</v>
      </c>
      <c r="L377" s="44">
        <v>45656</v>
      </c>
      <c r="M377" s="31">
        <v>1580732</v>
      </c>
      <c r="N377" s="31" t="str">
        <f>""</f>
        <v/>
      </c>
      <c r="O377" s="31" t="str">
        <f>""</f>
        <v/>
      </c>
      <c r="P377" s="31" t="str">
        <f>""</f>
        <v/>
      </c>
      <c r="Q377" s="45" t="str">
        <f>""</f>
        <v/>
      </c>
      <c r="R377" s="46">
        <v>341.79</v>
      </c>
      <c r="S377" s="46">
        <v>0</v>
      </c>
      <c r="T377" s="47">
        <f t="shared" si="21"/>
        <v>341.79</v>
      </c>
    </row>
    <row r="378" spans="1:20" s="31" customFormat="1" x14ac:dyDescent="0.25">
      <c r="A378" s="25" t="s">
        <v>25</v>
      </c>
      <c r="B378" s="42"/>
      <c r="C378" s="42"/>
      <c r="D378" s="25"/>
      <c r="E378" s="25"/>
      <c r="F378" s="42" t="e">
        <f t="shared" si="22"/>
        <v>#REF!</v>
      </c>
      <c r="G378" s="42" t="e">
        <f t="shared" si="22"/>
        <v>#REF!</v>
      </c>
      <c r="H378" s="43"/>
      <c r="K378" s="31" t="str">
        <f>"""GP"",""Ute Indian Tribe Membership Fund"",""aaa_contract_detail_sp"",""JRNENTRY"",""1580737"",""aaGLHdrID"",""1748476"",""aaGLDistID"",""20"",""aaGLAssignID"",""1"",""contract"",""3460 92 URHS FY2025"""</f>
        <v>"GP","Ute Indian Tribe Membership Fund","aaa_contract_detail_sp","JRNENTRY","1580737","aaGLHdrID","1748476","aaGLDistID","20","aaGLAssignID","1","contract","3460 92 URHS FY2025"</v>
      </c>
      <c r="L378" s="44">
        <v>45656</v>
      </c>
      <c r="M378" s="31">
        <v>1580737</v>
      </c>
      <c r="N378" s="31" t="str">
        <f>""</f>
        <v/>
      </c>
      <c r="O378" s="31" t="str">
        <f>""</f>
        <v/>
      </c>
      <c r="P378" s="31" t="str">
        <f>""</f>
        <v/>
      </c>
      <c r="Q378" s="45" t="str">
        <f>""</f>
        <v/>
      </c>
      <c r="R378" s="46">
        <v>392.9</v>
      </c>
      <c r="S378" s="46">
        <v>0</v>
      </c>
      <c r="T378" s="47">
        <f t="shared" si="21"/>
        <v>392.9</v>
      </c>
    </row>
    <row r="379" spans="1:20" s="31" customFormat="1" x14ac:dyDescent="0.25">
      <c r="A379" s="25" t="s">
        <v>25</v>
      </c>
      <c r="B379" s="42"/>
      <c r="C379" s="42"/>
      <c r="D379" s="25"/>
      <c r="E379" s="25"/>
      <c r="F379" s="42" t="e">
        <f t="shared" si="22"/>
        <v>#REF!</v>
      </c>
      <c r="G379" s="42" t="e">
        <f t="shared" si="22"/>
        <v>#REF!</v>
      </c>
      <c r="H379" s="43"/>
      <c r="K379" s="31" t="str">
        <f>"""GP"",""Ute Indian Tribe Membership Fund"",""aaa_contract_detail_sp"",""JRNENTRY"",""1580737"",""aaGLHdrID"",""1748476"",""aaGLDistID"",""21"",""aaGLAssignID"",""1"",""contract"",""3460 92 URHS FY2025"""</f>
        <v>"GP","Ute Indian Tribe Membership Fund","aaa_contract_detail_sp","JRNENTRY","1580737","aaGLHdrID","1748476","aaGLDistID","21","aaGLAssignID","1","contract","3460 92 URHS FY2025"</v>
      </c>
      <c r="L379" s="44">
        <v>45656</v>
      </c>
      <c r="M379" s="31">
        <v>1580737</v>
      </c>
      <c r="N379" s="31" t="str">
        <f>""</f>
        <v/>
      </c>
      <c r="O379" s="31" t="str">
        <f>""</f>
        <v/>
      </c>
      <c r="P379" s="31" t="str">
        <f>""</f>
        <v/>
      </c>
      <c r="Q379" s="45" t="str">
        <f>""</f>
        <v/>
      </c>
      <c r="R379" s="46">
        <v>196.45</v>
      </c>
      <c r="S379" s="46">
        <v>0</v>
      </c>
      <c r="T379" s="47">
        <f t="shared" si="21"/>
        <v>196.45</v>
      </c>
    </row>
    <row r="380" spans="1:20" s="31" customFormat="1" x14ac:dyDescent="0.25">
      <c r="A380" s="25" t="s">
        <v>25</v>
      </c>
      <c r="B380" s="42"/>
      <c r="C380" s="42"/>
      <c r="D380" s="25"/>
      <c r="E380" s="25"/>
      <c r="F380" s="42" t="e">
        <f t="shared" si="22"/>
        <v>#REF!</v>
      </c>
      <c r="G380" s="42" t="e">
        <f t="shared" si="22"/>
        <v>#REF!</v>
      </c>
      <c r="H380" s="43"/>
      <c r="K380" s="31" t="str">
        <f>"""GP"",""Ute Indian Tribe Membership Fund"",""aaa_contract_detail_sp"",""JRNENTRY"",""1580770"",""aaGLHdrID"",""1748509"",""aaGLDistID"",""20"",""aaGLAssignID"",""1"",""contract"",""3460 92 URHS FY2025"""</f>
        <v>"GP","Ute Indian Tribe Membership Fund","aaa_contract_detail_sp","JRNENTRY","1580770","aaGLHdrID","1748509","aaGLDistID","20","aaGLAssignID","1","contract","3460 92 URHS FY2025"</v>
      </c>
      <c r="L380" s="44">
        <v>45656</v>
      </c>
      <c r="M380" s="31">
        <v>1580770</v>
      </c>
      <c r="N380" s="31" t="str">
        <f>""</f>
        <v/>
      </c>
      <c r="O380" s="31" t="str">
        <f>""</f>
        <v/>
      </c>
      <c r="P380" s="31" t="str">
        <f>""</f>
        <v/>
      </c>
      <c r="Q380" s="45" t="str">
        <f>""</f>
        <v/>
      </c>
      <c r="R380" s="46">
        <v>261.95</v>
      </c>
      <c r="S380" s="46">
        <v>0</v>
      </c>
      <c r="T380" s="47">
        <f t="shared" si="21"/>
        <v>261.95</v>
      </c>
    </row>
    <row r="381" spans="1:20" s="31" customFormat="1" x14ac:dyDescent="0.25">
      <c r="A381" s="25" t="s">
        <v>25</v>
      </c>
      <c r="B381" s="42"/>
      <c r="C381" s="42"/>
      <c r="D381" s="25"/>
      <c r="E381" s="25"/>
      <c r="F381" s="42" t="e">
        <f t="shared" si="22"/>
        <v>#REF!</v>
      </c>
      <c r="G381" s="42" t="e">
        <f t="shared" si="22"/>
        <v>#REF!</v>
      </c>
      <c r="H381" s="43"/>
      <c r="K381" s="31" t="str">
        <f>"""GP"",""Ute Indian Tribe Membership Fund"",""aaa_contract_detail_sp"",""JRNENTRY"",""1580777"",""aaGLHdrID"",""1748516"",""aaGLDistID"",""18"",""aaGLAssignID"",""1"",""contract"",""3460 92 URHS FY2025"""</f>
        <v>"GP","Ute Indian Tribe Membership Fund","aaa_contract_detail_sp","JRNENTRY","1580777","aaGLHdrID","1748516","aaGLDistID","18","aaGLAssignID","1","contract","3460 92 URHS FY2025"</v>
      </c>
      <c r="L381" s="44">
        <v>45656</v>
      </c>
      <c r="M381" s="31">
        <v>1580777</v>
      </c>
      <c r="N381" s="31" t="str">
        <f>""</f>
        <v/>
      </c>
      <c r="O381" s="31" t="str">
        <f>""</f>
        <v/>
      </c>
      <c r="P381" s="31" t="str">
        <f>""</f>
        <v/>
      </c>
      <c r="Q381" s="45" t="str">
        <f>""</f>
        <v/>
      </c>
      <c r="R381" s="46">
        <v>275.45999999999998</v>
      </c>
      <c r="S381" s="46">
        <v>0</v>
      </c>
      <c r="T381" s="47">
        <f t="shared" si="21"/>
        <v>275.45999999999998</v>
      </c>
    </row>
    <row r="382" spans="1:20" s="31" customFormat="1" x14ac:dyDescent="0.25">
      <c r="A382" s="25" t="s">
        <v>25</v>
      </c>
      <c r="B382" s="42"/>
      <c r="C382" s="42"/>
      <c r="D382" s="25"/>
      <c r="E382" s="25"/>
      <c r="F382" s="42" t="e">
        <f t="shared" si="22"/>
        <v>#REF!</v>
      </c>
      <c r="G382" s="42" t="e">
        <f t="shared" si="22"/>
        <v>#REF!</v>
      </c>
      <c r="H382" s="43"/>
      <c r="K382" s="31" t="str">
        <f>"""GP"",""Ute Indian Tribe Membership Fund"",""aaa_contract_detail_sp"",""JRNENTRY"",""1580778"",""aaGLHdrID"",""1748517"",""aaGLDistID"",""17"",""aaGLAssignID"",""1"",""contract"",""3460 92 URHS FY2025"""</f>
        <v>"GP","Ute Indian Tribe Membership Fund","aaa_contract_detail_sp","JRNENTRY","1580778","aaGLHdrID","1748517","aaGLDistID","17","aaGLAssignID","1","contract","3460 92 URHS FY2025"</v>
      </c>
      <c r="L382" s="44">
        <v>45656</v>
      </c>
      <c r="M382" s="31">
        <v>1580778</v>
      </c>
      <c r="N382" s="31" t="str">
        <f>""</f>
        <v/>
      </c>
      <c r="O382" s="31" t="str">
        <f>""</f>
        <v/>
      </c>
      <c r="P382" s="31" t="str">
        <f>""</f>
        <v/>
      </c>
      <c r="Q382" s="45" t="str">
        <f>""</f>
        <v/>
      </c>
      <c r="R382" s="46">
        <v>304.74</v>
      </c>
      <c r="S382" s="46">
        <v>0</v>
      </c>
      <c r="T382" s="47">
        <f t="shared" si="21"/>
        <v>304.74</v>
      </c>
    </row>
    <row r="383" spans="1:20" s="31" customFormat="1" x14ac:dyDescent="0.25">
      <c r="A383" s="25" t="s">
        <v>25</v>
      </c>
      <c r="B383" s="42"/>
      <c r="C383" s="42"/>
      <c r="D383" s="25"/>
      <c r="E383" s="25"/>
      <c r="F383" s="42" t="e">
        <f t="shared" si="22"/>
        <v>#REF!</v>
      </c>
      <c r="G383" s="42" t="e">
        <f t="shared" si="22"/>
        <v>#REF!</v>
      </c>
      <c r="H383" s="43"/>
      <c r="K383" s="31" t="str">
        <f>"""GP"",""Ute Indian Tribe Membership Fund"",""aaa_contract_detail_sp"",""JRNENTRY"",""1580778"",""aaGLHdrID"",""1748517"",""aaGLDistID"",""18"",""aaGLAssignID"",""1"",""contract"",""3460 92 URHS FY2025"""</f>
        <v>"GP","Ute Indian Tribe Membership Fund","aaa_contract_detail_sp","JRNENTRY","1580778","aaGLHdrID","1748517","aaGLDistID","18","aaGLAssignID","1","contract","3460 92 URHS FY2025"</v>
      </c>
      <c r="L383" s="44">
        <v>45656</v>
      </c>
      <c r="M383" s="31">
        <v>1580778</v>
      </c>
      <c r="N383" s="31" t="str">
        <f>""</f>
        <v/>
      </c>
      <c r="O383" s="31" t="str">
        <f>""</f>
        <v/>
      </c>
      <c r="P383" s="31" t="str">
        <f>""</f>
        <v/>
      </c>
      <c r="Q383" s="45" t="str">
        <f>""</f>
        <v/>
      </c>
      <c r="R383" s="46">
        <v>152.37</v>
      </c>
      <c r="S383" s="46">
        <v>0</v>
      </c>
      <c r="T383" s="47">
        <f t="shared" si="21"/>
        <v>152.37</v>
      </c>
    </row>
    <row r="384" spans="1:20" s="31" customFormat="1" x14ac:dyDescent="0.25">
      <c r="A384" s="25" t="s">
        <v>25</v>
      </c>
      <c r="B384" s="42"/>
      <c r="C384" s="42"/>
      <c r="D384" s="25"/>
      <c r="E384" s="25"/>
      <c r="F384" s="42" t="e">
        <f t="shared" si="22"/>
        <v>#REF!</v>
      </c>
      <c r="G384" s="42" t="e">
        <f t="shared" si="22"/>
        <v>#REF!</v>
      </c>
      <c r="H384" s="43"/>
      <c r="K384" s="31" t="str">
        <f>"""GP"",""Ute Indian Tribe Membership Fund"",""aaa_contract_detail_sp"",""JRNENTRY"",""1580866"",""aaGLHdrID"",""1748605"",""aaGLDistID"",""16"",""aaGLAssignID"",""1"",""contract"",""3460 92 URHS FY2025"""</f>
        <v>"GP","Ute Indian Tribe Membership Fund","aaa_contract_detail_sp","JRNENTRY","1580866","aaGLHdrID","1748605","aaGLDistID","16","aaGLAssignID","1","contract","3460 92 URHS FY2025"</v>
      </c>
      <c r="L384" s="44">
        <v>45656</v>
      </c>
      <c r="M384" s="31">
        <v>1580866</v>
      </c>
      <c r="N384" s="31" t="str">
        <f>""</f>
        <v/>
      </c>
      <c r="O384" s="31" t="str">
        <f>""</f>
        <v/>
      </c>
      <c r="P384" s="31" t="str">
        <f>""</f>
        <v/>
      </c>
      <c r="Q384" s="45" t="str">
        <f>""</f>
        <v/>
      </c>
      <c r="R384" s="46">
        <v>130.46</v>
      </c>
      <c r="S384" s="46">
        <v>0</v>
      </c>
      <c r="T384" s="47">
        <f t="shared" si="21"/>
        <v>130.46</v>
      </c>
    </row>
    <row r="385" spans="1:20" s="31" customFormat="1" x14ac:dyDescent="0.25">
      <c r="A385" s="25" t="s">
        <v>25</v>
      </c>
      <c r="B385" s="42"/>
      <c r="C385" s="42"/>
      <c r="D385" s="25"/>
      <c r="E385" s="25"/>
      <c r="F385" s="42" t="e">
        <f t="shared" si="22"/>
        <v>#REF!</v>
      </c>
      <c r="G385" s="42" t="e">
        <f t="shared" si="22"/>
        <v>#REF!</v>
      </c>
      <c r="H385" s="43"/>
      <c r="K385" s="31" t="str">
        <f>"""GP"",""Ute Indian Tribe Membership Fund"",""aaa_contract_detail_sp"",""JRNENTRY"",""1580947"",""aaGLHdrID"",""1748686"",""aaGLDistID"",""20"",""aaGLAssignID"",""1"",""contract"",""3460 92 URHS FY2025"""</f>
        <v>"GP","Ute Indian Tribe Membership Fund","aaa_contract_detail_sp","JRNENTRY","1580947","aaGLHdrID","1748686","aaGLDistID","20","aaGLAssignID","1","contract","3460 92 URHS FY2025"</v>
      </c>
      <c r="L385" s="44">
        <v>45656</v>
      </c>
      <c r="M385" s="31">
        <v>1580947</v>
      </c>
      <c r="N385" s="31" t="str">
        <f>""</f>
        <v/>
      </c>
      <c r="O385" s="31" t="str">
        <f>""</f>
        <v/>
      </c>
      <c r="P385" s="31" t="str">
        <f>""</f>
        <v/>
      </c>
      <c r="Q385" s="45" t="str">
        <f>""</f>
        <v/>
      </c>
      <c r="R385" s="46">
        <v>87.06</v>
      </c>
      <c r="S385" s="46">
        <v>0</v>
      </c>
      <c r="T385" s="47">
        <f t="shared" si="21"/>
        <v>87.06</v>
      </c>
    </row>
    <row r="386" spans="1:20" s="31" customFormat="1" ht="12.75" x14ac:dyDescent="0.2">
      <c r="A386" s="25" t="s">
        <v>25</v>
      </c>
      <c r="B386" s="42"/>
      <c r="C386" s="42"/>
      <c r="D386" s="25"/>
      <c r="E386" s="25"/>
      <c r="F386" s="42" t="e">
        <f>#REF!</f>
        <v>#REF!</v>
      </c>
      <c r="G386" s="42" t="e">
        <f>#REF!</f>
        <v>#REF!</v>
      </c>
      <c r="H386" s="43"/>
    </row>
    <row r="387" spans="1:20" s="31" customFormat="1" ht="12.75" x14ac:dyDescent="0.2">
      <c r="A387" s="25" t="s">
        <v>25</v>
      </c>
      <c r="B387" s="25"/>
      <c r="C387" s="25"/>
      <c r="D387" s="25"/>
      <c r="E387" s="25"/>
      <c r="F387" s="25"/>
      <c r="G387" s="25"/>
      <c r="H387" s="30"/>
      <c r="I387" s="54" t="str">
        <f>I305&amp;"   "&amp;J305&amp;"         Total:"</f>
        <v>5021-0-6120-3460   Fringe Benefits - Retirement         Total:</v>
      </c>
      <c r="J387" s="54"/>
      <c r="K387" s="54"/>
      <c r="L387" s="54"/>
      <c r="M387" s="54"/>
      <c r="N387" s="54"/>
      <c r="O387" s="54"/>
      <c r="P387" s="54"/>
      <c r="Q387" s="54"/>
      <c r="R387" s="54"/>
      <c r="S387" s="54"/>
      <c r="T387" s="48">
        <f>SUBTOTAL(9,T306:T386)</f>
        <v>22053.24</v>
      </c>
    </row>
    <row r="388" spans="1:20" s="31" customFormat="1" ht="12.75" x14ac:dyDescent="0.2">
      <c r="A388" s="25" t="s">
        <v>25</v>
      </c>
      <c r="B388" s="25"/>
      <c r="C388" s="25"/>
      <c r="D388" s="25"/>
      <c r="E388" s="25"/>
      <c r="F388" s="25"/>
      <c r="G388" s="25"/>
      <c r="H388" s="30"/>
    </row>
    <row r="389" spans="1:20" s="31" customFormat="1" ht="12.75" x14ac:dyDescent="0.2">
      <c r="A389" s="25" t="s">
        <v>25</v>
      </c>
      <c r="B389" s="25"/>
      <c r="C389" s="25"/>
      <c r="D389" s="25"/>
      <c r="E389" s="25"/>
      <c r="F389" s="25"/>
      <c r="G389" s="25"/>
      <c r="H389" s="30"/>
    </row>
    <row r="390" spans="1:20" s="31" customFormat="1" ht="12.75" x14ac:dyDescent="0.2">
      <c r="A390" s="25" t="s">
        <v>25</v>
      </c>
      <c r="B390" s="25"/>
      <c r="C390" s="25"/>
      <c r="D390" s="25"/>
      <c r="E390" s="25"/>
      <c r="F390" s="25" t="str">
        <f>"5021-0-6160-3460"</f>
        <v>5021-0-6160-3460</v>
      </c>
      <c r="G390" s="25" t="str">
        <f>"5021-0-6160-3460"</f>
        <v>5021-0-6160-3460</v>
      </c>
      <c r="H390" s="30"/>
      <c r="I390" s="40" t="str">
        <f>G390</f>
        <v>5021-0-6160-3460</v>
      </c>
      <c r="J390" s="40" t="str">
        <f>"Food"</f>
        <v>Food</v>
      </c>
      <c r="Q390" s="40"/>
      <c r="R390" s="41"/>
    </row>
    <row r="391" spans="1:20" s="31" customFormat="1" x14ac:dyDescent="0.25">
      <c r="A391" s="25" t="s">
        <v>25</v>
      </c>
      <c r="B391" s="42"/>
      <c r="C391" s="42"/>
      <c r="D391" s="25"/>
      <c r="E391" s="25"/>
      <c r="F391" s="42" t="e">
        <f>#REF!</f>
        <v>#REF!</v>
      </c>
      <c r="G391" s="42" t="e">
        <f>#REF!</f>
        <v>#REF!</v>
      </c>
      <c r="H391" s="43"/>
      <c r="K391" s="31" t="str">
        <f>"""GP"",""Ute Indian Tribe Membership Fund"",""aaa_contract_detail_sp"",""JRNENTRY"",""1579156"",""aaGLHdrID"",""1746907"",""aaGLDistID"",""2"",""aaGLAssignID"",""1"",""contract"",""3460 92 URHS FY2025"""</f>
        <v>"GP","Ute Indian Tribe Membership Fund","aaa_contract_detail_sp","JRNENTRY","1579156","aaGLHdrID","1746907","aaGLDistID","2","aaGLAssignID","1","contract","3460 92 URHS FY2025"</v>
      </c>
      <c r="L391" s="44">
        <v>45632</v>
      </c>
      <c r="M391" s="31">
        <v>1579156</v>
      </c>
      <c r="N391" s="31" t="str">
        <f>"VERNON FITCHETTE"</f>
        <v>VERNON FITCHETTE</v>
      </c>
      <c r="O391" s="31" t="str">
        <f>"12"</f>
        <v>12</v>
      </c>
      <c r="P391" s="31" t="str">
        <f>"Friday School Lunch"</f>
        <v>Friday School Lunch</v>
      </c>
      <c r="Q391" s="45" t="str">
        <f>"00000000457715"</f>
        <v>00000000457715</v>
      </c>
      <c r="R391" s="46">
        <v>110.15</v>
      </c>
      <c r="S391" s="46">
        <v>0</v>
      </c>
      <c r="T391" s="47">
        <f t="shared" ref="T391" si="23">SUM(R391:S391)</f>
        <v>110.15</v>
      </c>
    </row>
    <row r="392" spans="1:20" s="31" customFormat="1" ht="12.75" x14ac:dyDescent="0.2">
      <c r="A392" s="25" t="s">
        <v>25</v>
      </c>
      <c r="B392" s="42"/>
      <c r="C392" s="42"/>
      <c r="D392" s="25"/>
      <c r="E392" s="25"/>
      <c r="F392" s="42" t="e">
        <f>#REF!</f>
        <v>#REF!</v>
      </c>
      <c r="G392" s="42" t="e">
        <f>#REF!</f>
        <v>#REF!</v>
      </c>
      <c r="H392" s="43"/>
    </row>
    <row r="393" spans="1:20" s="31" customFormat="1" ht="12.75" x14ac:dyDescent="0.2">
      <c r="A393" s="25" t="s">
        <v>25</v>
      </c>
      <c r="B393" s="25"/>
      <c r="C393" s="25"/>
      <c r="D393" s="25"/>
      <c r="E393" s="25"/>
      <c r="F393" s="25"/>
      <c r="G393" s="25"/>
      <c r="H393" s="30"/>
      <c r="I393" s="54" t="str">
        <f>I390&amp;"   "&amp;J390&amp;"         Total:"</f>
        <v>5021-0-6160-3460   Food         Total:</v>
      </c>
      <c r="J393" s="54"/>
      <c r="K393" s="54"/>
      <c r="L393" s="54"/>
      <c r="M393" s="54"/>
      <c r="N393" s="54"/>
      <c r="O393" s="54"/>
      <c r="P393" s="54"/>
      <c r="Q393" s="54"/>
      <c r="R393" s="54"/>
      <c r="S393" s="54"/>
      <c r="T393" s="48">
        <f>SUBTOTAL(9,T391:T392)</f>
        <v>110.15</v>
      </c>
    </row>
    <row r="394" spans="1:20" s="31" customFormat="1" ht="12.75" x14ac:dyDescent="0.2">
      <c r="A394" s="25" t="s">
        <v>25</v>
      </c>
      <c r="B394" s="25"/>
      <c r="C394" s="25"/>
      <c r="D394" s="25"/>
      <c r="E394" s="25"/>
      <c r="F394" s="25"/>
      <c r="G394" s="25"/>
      <c r="H394" s="30"/>
    </row>
    <row r="395" spans="1:20" s="31" customFormat="1" ht="12.75" x14ac:dyDescent="0.2">
      <c r="A395" s="25" t="s">
        <v>25</v>
      </c>
      <c r="B395" s="25"/>
      <c r="C395" s="25"/>
      <c r="D395" s="25"/>
      <c r="E395" s="25"/>
      <c r="F395" s="25"/>
      <c r="G395" s="25"/>
      <c r="H395" s="30"/>
    </row>
    <row r="396" spans="1:20" s="31" customFormat="1" ht="12.75" x14ac:dyDescent="0.2">
      <c r="A396" s="25" t="s">
        <v>25</v>
      </c>
      <c r="B396" s="25"/>
      <c r="C396" s="25"/>
      <c r="D396" s="25"/>
      <c r="E396" s="25"/>
      <c r="F396" s="25" t="str">
        <f>"5021-0-6410-3460"</f>
        <v>5021-0-6410-3460</v>
      </c>
      <c r="G396" s="25" t="str">
        <f>"5021-0-6410-3460"</f>
        <v>5021-0-6410-3460</v>
      </c>
      <c r="H396" s="30"/>
      <c r="I396" s="40" t="str">
        <f>G396</f>
        <v>5021-0-6410-3460</v>
      </c>
      <c r="J396" s="40" t="str">
        <f>"Materials and Supplies"</f>
        <v>Materials and Supplies</v>
      </c>
      <c r="Q396" s="40"/>
      <c r="R396" s="41"/>
    </row>
    <row r="397" spans="1:20" s="31" customFormat="1" x14ac:dyDescent="0.25">
      <c r="A397" s="25" t="s">
        <v>25</v>
      </c>
      <c r="B397" s="42"/>
      <c r="C397" s="42"/>
      <c r="D397" s="25"/>
      <c r="E397" s="25"/>
      <c r="F397" s="42" t="e">
        <f>#REF!</f>
        <v>#REF!</v>
      </c>
      <c r="G397" s="42" t="e">
        <f>#REF!</f>
        <v>#REF!</v>
      </c>
      <c r="H397" s="43"/>
      <c r="K397" s="31" t="str">
        <f>"""GP"",""Ute Indian Tribe Membership Fund"",""aaa_contract_detail_sp"",""JRNENTRY"",""1579155"",""aaGLHdrID"",""1746906"",""aaGLDistID"",""2"",""aaGLAssignID"",""1"",""contract"",""3460 92 URHS FY2025"""</f>
        <v>"GP","Ute Indian Tribe Membership Fund","aaa_contract_detail_sp","JRNENTRY","1579155","aaGLHdrID","1746906","aaGLDistID","2","aaGLAssignID","1","contract","3460 92 URHS FY2025"</v>
      </c>
      <c r="L397" s="44">
        <v>45637</v>
      </c>
      <c r="M397" s="31">
        <v>1579155</v>
      </c>
      <c r="N397" s="31" t="str">
        <f>"Failner, Shawna J"</f>
        <v>Failner, Shawna J</v>
      </c>
      <c r="O397" s="31" t="str">
        <f>"114-374"</f>
        <v>114-374</v>
      </c>
      <c r="P397" s="31" t="str">
        <f>"Classroom supplies"</f>
        <v>Classroom supplies</v>
      </c>
      <c r="Q397" s="45" t="str">
        <f>"00000000457714"</f>
        <v>00000000457714</v>
      </c>
      <c r="R397" s="46">
        <v>117.74</v>
      </c>
      <c r="S397" s="46">
        <v>0</v>
      </c>
      <c r="T397" s="47">
        <f t="shared" ref="T397" si="24">SUM(R397:S397)</f>
        <v>117.74</v>
      </c>
    </row>
    <row r="398" spans="1:20" s="31" customFormat="1" ht="12.75" x14ac:dyDescent="0.2">
      <c r="A398" s="25" t="s">
        <v>25</v>
      </c>
      <c r="B398" s="42"/>
      <c r="C398" s="42"/>
      <c r="D398" s="25"/>
      <c r="E398" s="25"/>
      <c r="F398" s="42" t="e">
        <f>#REF!</f>
        <v>#REF!</v>
      </c>
      <c r="G398" s="42" t="e">
        <f>#REF!</f>
        <v>#REF!</v>
      </c>
      <c r="H398" s="43"/>
    </row>
    <row r="399" spans="1:20" s="31" customFormat="1" ht="12.75" x14ac:dyDescent="0.2">
      <c r="A399" s="25" t="s">
        <v>25</v>
      </c>
      <c r="B399" s="25"/>
      <c r="C399" s="25"/>
      <c r="D399" s="25"/>
      <c r="E399" s="25"/>
      <c r="F399" s="25"/>
      <c r="G399" s="25"/>
      <c r="H399" s="30"/>
      <c r="I399" s="54" t="str">
        <f>I396&amp;"   "&amp;J396&amp;"         Total:"</f>
        <v>5021-0-6410-3460   Materials and Supplies         Total:</v>
      </c>
      <c r="J399" s="54"/>
      <c r="K399" s="54"/>
      <c r="L399" s="54"/>
      <c r="M399" s="54"/>
      <c r="N399" s="54"/>
      <c r="O399" s="54"/>
      <c r="P399" s="54"/>
      <c r="Q399" s="54"/>
      <c r="R399" s="54"/>
      <c r="S399" s="54"/>
      <c r="T399" s="48">
        <f>SUBTOTAL(9,T397:T398)</f>
        <v>117.74</v>
      </c>
    </row>
    <row r="400" spans="1:20" s="31" customFormat="1" ht="12.75" x14ac:dyDescent="0.2">
      <c r="A400" s="25" t="s">
        <v>25</v>
      </c>
      <c r="B400" s="25"/>
      <c r="C400" s="25"/>
      <c r="D400" s="25"/>
      <c r="E400" s="25"/>
      <c r="F400" s="25"/>
      <c r="G400" s="25"/>
      <c r="H400" s="30"/>
    </row>
    <row r="401" spans="1:20" s="31" customFormat="1" ht="12.75" x14ac:dyDescent="0.2">
      <c r="A401" s="25" t="s">
        <v>25</v>
      </c>
      <c r="B401" s="25"/>
      <c r="C401" s="25"/>
      <c r="D401" s="25"/>
      <c r="E401" s="25"/>
      <c r="F401" s="25"/>
      <c r="G401" s="25"/>
      <c r="H401" s="30"/>
    </row>
    <row r="402" spans="1:20" s="31" customFormat="1" ht="15.75" hidden="1" thickBot="1" x14ac:dyDescent="0.3">
      <c r="A402" s="25" t="s">
        <v>1</v>
      </c>
      <c r="B402" s="25"/>
      <c r="C402" s="25"/>
      <c r="D402" s="25"/>
      <c r="E402" s="25"/>
      <c r="F402" s="25"/>
      <c r="G402" s="25"/>
      <c r="H402" s="30"/>
      <c r="I402" s="55" t="s">
        <v>26</v>
      </c>
      <c r="J402" s="55"/>
      <c r="K402" s="55"/>
      <c r="L402" s="55"/>
      <c r="M402" s="55"/>
      <c r="N402" s="55"/>
      <c r="O402" s="55"/>
      <c r="P402" s="55"/>
      <c r="Q402" s="55"/>
      <c r="R402" s="55"/>
      <c r="S402" s="55"/>
      <c r="T402" s="49">
        <f>SUBTOTAL(9,T20)</f>
        <v>0</v>
      </c>
    </row>
    <row r="403" spans="1:20" s="31" customFormat="1" ht="12.75" x14ac:dyDescent="0.2">
      <c r="A403" s="25"/>
      <c r="B403" s="25"/>
      <c r="C403" s="25"/>
      <c r="D403" s="25"/>
      <c r="E403" s="25"/>
      <c r="F403" s="25"/>
      <c r="G403" s="25"/>
      <c r="H403" s="30"/>
    </row>
  </sheetData>
  <mergeCells count="11">
    <mergeCell ref="I262:S262"/>
    <mergeCell ref="I7:K7"/>
    <mergeCell ref="I8:M8"/>
    <mergeCell ref="I20:S20"/>
    <mergeCell ref="I27:S27"/>
    <mergeCell ref="I124:S124"/>
    <mergeCell ref="I302:S302"/>
    <mergeCell ref="I387:S387"/>
    <mergeCell ref="I393:S393"/>
    <mergeCell ref="I399:S399"/>
    <mergeCell ref="I402:S402"/>
  </mergeCells>
  <pageMargins left="0.75" right="0.75" top="1" bottom="1" header="0.5" footer="0.5"/>
  <pageSetup scale="34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Tribal Nov-Dec 2024</vt:lpstr>
      <vt:lpstr>Grant 3420</vt:lpstr>
      <vt:lpstr>Grant 3430</vt:lpstr>
      <vt:lpstr>Detail</vt:lpstr>
      <vt:lpstr>Detail!Email</vt:lpstr>
      <vt:lpstr>'Grant 3430'!Email</vt:lpstr>
      <vt:lpstr>Email</vt:lpstr>
      <vt:lpstr>Detail!Print_Titles</vt:lpstr>
      <vt:lpstr>'Grant 3420'!Print_Titles</vt:lpstr>
      <vt:lpstr>'Grant 3430'!Print_Titles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Bill Phillips</dc:creator>
  <cp:lastModifiedBy>Brittany Luck</cp:lastModifiedBy>
  <dcterms:created xsi:type="dcterms:W3CDTF">2025-01-13T16:25:02Z</dcterms:created>
  <dcterms:modified xsi:type="dcterms:W3CDTF">2025-01-13T17:28:19Z</dcterms:modified>
</cp:coreProperties>
</file>