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3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 of Trustee\Board Meeting\2024\2024-12-04 Budget Hearing\"/>
    </mc:Choice>
  </mc:AlternateContent>
  <xr:revisionPtr revIDLastSave="0" documentId="8_{542F7126-2A20-4930-B3F3-9B4B0606D9B8}" xr6:coauthVersionLast="47" xr6:coauthVersionMax="47" xr10:uidLastSave="{00000000-0000-0000-0000-000000000000}"/>
  <bookViews>
    <workbookView xWindow="-13740" yWindow="-16320" windowWidth="29040" windowHeight="15720" tabRatio="688" activeTab="4" xr2:uid="{00000000-000D-0000-FFFF-FFFF00000000}"/>
  </bookViews>
  <sheets>
    <sheet name="2025 General" sheetId="35" r:id="rId1"/>
    <sheet name="2025 Construction" sheetId="36" r:id="rId2"/>
    <sheet name="2022 regular" sheetId="32" state="hidden" r:id="rId3"/>
    <sheet name="2022 construction" sheetId="31" state="hidden" r:id="rId4"/>
    <sheet name="Amendment 2024" sheetId="33" r:id="rId5"/>
    <sheet name="Income Statement" sheetId="37" r:id="rId6"/>
    <sheet name="Budget Comparison Bond" sheetId="38" r:id="rId7"/>
    <sheet name="2022 draft old" sheetId="30" state="hidden" r:id="rId8"/>
    <sheet name="TRY --2021 AMENDED" sheetId="34" state="hidden" r:id="rId9"/>
    <sheet name="Monthly Rate Breakdown" sheetId="24" state="hidden" r:id="rId10"/>
  </sheets>
  <definedNames>
    <definedName name="factor" localSheetId="3">#REF!</definedName>
    <definedName name="factor" localSheetId="7">#REF!</definedName>
    <definedName name="factor" localSheetId="2">#REF!</definedName>
    <definedName name="factor" localSheetId="1">#REF!</definedName>
    <definedName name="factor" localSheetId="0">#REF!</definedName>
    <definedName name="factor" localSheetId="4">#REF!</definedName>
    <definedName name="factor" localSheetId="9">#REF!</definedName>
    <definedName name="factor" localSheetId="8">#REF!</definedName>
    <definedName name="factor">#REF!</definedName>
    <definedName name="_xlnm.Print_Area" localSheetId="3">'2022 construction'!$A$1:$I$36</definedName>
    <definedName name="_xlnm.Print_Area" localSheetId="7">'2022 draft old'!$A$1:$I$109</definedName>
    <definedName name="_xlnm.Print_Area" localSheetId="2">'2022 regular'!$A$1:$I$64</definedName>
    <definedName name="_xlnm.Print_Area" localSheetId="1">'2025 Construction'!$A$1:$K$38</definedName>
    <definedName name="_xlnm.Print_Area" localSheetId="0">'2025 General'!$A$1:$G$69</definedName>
    <definedName name="_xlnm.Print_Area" localSheetId="4">'Amendment 2024'!$A$1:$K$122</definedName>
    <definedName name="_xlnm.Print_Area" localSheetId="9">'Monthly Rate Breakdown'!$B$1:$F$60</definedName>
    <definedName name="_xlnm.Print_Area" localSheetId="8">'TRY --2021 AMENDED'!$A$1:$H$80</definedName>
    <definedName name="_xlnm.Print_Titles" localSheetId="6">'Budget Comparison Bond'!$A:$B,'Budget Comparison Bond'!$1:$2</definedName>
    <definedName name="_xlnm.Print_Titles" localSheetId="5">'Income Statement'!$A:$H,'Income Statement'!$1:$2</definedName>
    <definedName name="QB_COLUMN_59200" localSheetId="6" hidden="1">'Budget Comparison Bond'!$C$2</definedName>
    <definedName name="QB_COLUMN_59200" localSheetId="5" hidden="1">'Income Statement'!$I$2</definedName>
    <definedName name="QB_COLUMN_61210" localSheetId="6" hidden="1">'Budget Comparison Bond'!$D$2</definedName>
    <definedName name="QB_COLUMN_61210" localSheetId="5" hidden="1">'Income Statement'!$J$2</definedName>
    <definedName name="QB_COLUMN_63620" localSheetId="6" hidden="1">'Budget Comparison Bond'!$E$2</definedName>
    <definedName name="QB_COLUMN_63620" localSheetId="5" hidden="1">'Income Statement'!$K$2</definedName>
    <definedName name="QB_COLUMN_64830" localSheetId="6" hidden="1">'Budget Comparison Bond'!$F$2</definedName>
    <definedName name="QB_COLUMN_64830" localSheetId="5" hidden="1">'Income Statement'!$L$2</definedName>
    <definedName name="QB_DATA_0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DATA_0" localSheetId="5" hidden="1">'Income Statement'!$5:$5,'Income Statement'!$6:$6,'Income Statement'!$8:$8,'Income Statement'!$9:$9,'Income Statement'!$10:$10,'Income Statement'!$11:$11,'Income Statement'!$14:$14,'Income Statement'!$15:$15,'Income Statement'!$16:$16,'Income Statement'!$18:$18,'Income Statement'!$20:$20,'Income Statement'!$22:$22,'Income Statement'!$23:$23,'Income Statement'!$24:$24,'Income Statement'!$25:$25,'Income Statement'!$37:$37</definedName>
    <definedName name="QB_DATA_1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DATA_1" localSheetId="5" hidden="1">'Income Statement'!$38:$38,'Income Statement'!$39:$39,'Income Statement'!$40:$40,'Income Statement'!$42:$42,'Income Statement'!$43:$43,'Income Statement'!$44:$44,'Income Statement'!$45:$45,'Income Statement'!$47:$47,'Income Statement'!$49:$49,'Income Statement'!$50:$50,'Income Statement'!$51:$51,'Income Statement'!$52:$52,'Income Statement'!$53:$53,'Income Statement'!$54:$54,'Income Statement'!$55:$55,'Income Statement'!$59:$59</definedName>
    <definedName name="QB_DATA_2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DATA_2" localSheetId="5" hidden="1">'Income Statement'!$60:$60,'Income Statement'!$61:$61,'Income Statement'!$64:$64,'Income Statement'!$65:$65,'Income Statement'!$66:$66,'Income Statement'!$67:$67,'Income Statement'!$70:$70,'Income Statement'!$73:$73,'Income Statement'!$74:$74,'Income Statement'!$75:$75,'Income Statement'!$77:$77,'Income Statement'!$78:$78,'Income Statement'!$80:$80,'Income Statement'!$81:$81,'Income Statement'!$82:$82,'Income Statement'!$83:$83</definedName>
    <definedName name="QB_DATA_3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DATA_3" localSheetId="5" hidden="1">'Income Statement'!$84:$84,'Income Statement'!$89:$89,'Income Statement'!$91:$91,'Income Statement'!$92:$92,'Income Statement'!$95:$95,'Income Statement'!$96:$96,'Income Statement'!$97:$97,'Income Statement'!$98:$98,'Income Statement'!$99:$99,'Income Statement'!$100:$100,'Income Statement'!$103:$103,'Income Statement'!$104:$104,'Income Statement'!$105:$105,'Income Statement'!$106:$106,'Income Statement'!$107:$107,'Income Statement'!$110:$110</definedName>
    <definedName name="QB_DATA_4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DATA_4" localSheetId="5" hidden="1">'Income Statement'!$116:$116,'Income Statement'!$117:$117,'Income Statement'!$119:$119,'Income Statement'!$120:$120,'Income Statement'!$124:$124,'Income Statement'!$127:$127,'Income Statement'!$129:$129,'Income Statement'!$135:$135,'Income Statement'!$136:$136,'Income Statement'!$137:$137,'Income Statement'!$138:$138,'Income Statement'!$139:$139,'Income Statement'!$140:$140,'Income Statement'!$141:$141,'Income Statement'!$142:$142,'Income Statement'!$143:$143</definedName>
    <definedName name="QB_DATA_5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DATA_5" localSheetId="5" hidden="1">'Income Statement'!$144:$144,'Income Statement'!$145:$145,'Income Statement'!$146:$146,'Income Statement'!$147:$147,'Income Statement'!$148:$148,'Income Statement'!$151:$151,'Income Statement'!$152:$152,'Income Statement'!$153:$153,'Income Statement'!$155:$155</definedName>
    <definedName name="QB_FORMULA_0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0" localSheetId="5" hidden="1">'Income Statement'!$K$5,'Income Statement'!$L$5,'Income Statement'!$K$6,'Income Statement'!$L$6,'Income Statement'!$K$8,'Income Statement'!$L$8,'Income Statement'!$K$9,'Income Statement'!$L$9,'Income Statement'!$K$10,'Income Statement'!$L$10,'Income Statement'!$K$11,'Income Statement'!$L$11,'Income Statement'!$I$12,'Income Statement'!$J$12,'Income Statement'!$K$12,'Income Statement'!$L$12</definedName>
    <definedName name="QB_FORMULA_1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1" localSheetId="5" hidden="1">'Income Statement'!$K$14,'Income Statement'!$L$14,'Income Statement'!$K$15,'Income Statement'!$L$15,'Income Statement'!$K$16,'Income Statement'!$L$16,'Income Statement'!$I$17,'Income Statement'!$J$17,'Income Statement'!$K$17,'Income Statement'!$L$17,'Income Statement'!$K$18,'Income Statement'!$L$18,'Income Statement'!$K$20,'Income Statement'!$L$20,'Income Statement'!$K$22,'Income Statement'!$L$22</definedName>
    <definedName name="QB_FORMULA_10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10" localSheetId="5" hidden="1">'Income Statement'!$K$95,'Income Statement'!$L$95,'Income Statement'!$K$96,'Income Statement'!$L$96,'Income Statement'!$K$97,'Income Statement'!$L$97,'Income Statement'!$K$98,'Income Statement'!$L$98,'Income Statement'!$K$99,'Income Statement'!$L$99,'Income Statement'!$K$100,'Income Statement'!$L$100,'Income Statement'!$I$101,'Income Statement'!$J$101,'Income Statement'!$K$101,'Income Statement'!$L$101</definedName>
    <definedName name="QB_FORMULA_11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11" localSheetId="5" hidden="1">'Income Statement'!$K$103,'Income Statement'!$L$103,'Income Statement'!$K$104,'Income Statement'!$L$104,'Income Statement'!$K$105,'Income Statement'!$L$105,'Income Statement'!$K$106,'Income Statement'!$L$106,'Income Statement'!$K$107,'Income Statement'!$L$107,'Income Statement'!$I$108,'Income Statement'!$J$108,'Income Statement'!$K$108,'Income Statement'!$L$108,'Income Statement'!$I$109,'Income Statement'!$J$109</definedName>
    <definedName name="QB_FORMULA_12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12" localSheetId="5" hidden="1">'Income Statement'!$K$109,'Income Statement'!$L$109,'Income Statement'!$K$110,'Income Statement'!$L$110,'Income Statement'!$I$111,'Income Statement'!$J$111,'Income Statement'!$K$111,'Income Statement'!$L$111,'Income Statement'!$I$112,'Income Statement'!$J$112,'Income Statement'!$K$112,'Income Statement'!$L$112,'Income Statement'!$K$116,'Income Statement'!$L$116,'Income Statement'!$K$117,'Income Statement'!$L$117</definedName>
    <definedName name="QB_FORMULA_13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13" localSheetId="5" hidden="1">'Income Statement'!$K$119,'Income Statement'!$L$119,'Income Statement'!$K$120,'Income Statement'!$L$120,'Income Statement'!$I$121,'Income Statement'!$J$121,'Income Statement'!$K$121,'Income Statement'!$L$121,'Income Statement'!$K$124,'Income Statement'!$L$124,'Income Statement'!$K$127,'Income Statement'!$L$127,'Income Statement'!$I$128,'Income Statement'!$J$128,'Income Statement'!$K$128,'Income Statement'!$L$128</definedName>
    <definedName name="QB_FORMULA_14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14" localSheetId="5" hidden="1">'Income Statement'!$K$129,'Income Statement'!$L$129,'Income Statement'!$I$130,'Income Statement'!$J$130,'Income Statement'!$K$130,'Income Statement'!$L$130,'Income Statement'!$I$132,'Income Statement'!$J$132,'Income Statement'!$K$132,'Income Statement'!$L$132,'Income Statement'!$K$135,'Income Statement'!$L$135,'Income Statement'!$K$136,'Income Statement'!$L$136,'Income Statement'!$K$137,'Income Statement'!$L$137</definedName>
    <definedName name="QB_FORMULA_15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15" localSheetId="5" hidden="1">'Income Statement'!$K$138,'Income Statement'!$L$138,'Income Statement'!$K$139,'Income Statement'!$L$139,'Income Statement'!$K$140,'Income Statement'!$L$140,'Income Statement'!$K$141,'Income Statement'!$L$141,'Income Statement'!$K$142,'Income Statement'!$L$142,'Income Statement'!$K$143,'Income Statement'!$L$143,'Income Statement'!$K$144,'Income Statement'!$L$144,'Income Statement'!$K$145,'Income Statement'!$L$145</definedName>
    <definedName name="QB_FORMULA_16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16" localSheetId="5" hidden="1">'Income Statement'!$K$146,'Income Statement'!$L$146,'Income Statement'!$K$147,'Income Statement'!$L$147,'Income Statement'!$K$148,'Income Statement'!$L$148,'Income Statement'!$I$149,'Income Statement'!$J$149,'Income Statement'!$K$149,'Income Statement'!$L$149,'Income Statement'!$K$151,'Income Statement'!$L$151,'Income Statement'!$K$152,'Income Statement'!$L$152,'Income Statement'!$K$153,'Income Statement'!$L$153</definedName>
    <definedName name="QB_FORMULA_17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17" localSheetId="5" hidden="1">'Income Statement'!$I$154,'Income Statement'!$J$154,'Income Statement'!$K$154,'Income Statement'!$L$154,'Income Statement'!$K$155,'Income Statement'!$L$155,'Income Statement'!$I$156,'Income Statement'!$J$156,'Income Statement'!$K$156,'Income Statement'!$L$156,'Income Statement'!$I$157,'Income Statement'!$J$157,'Income Statement'!$K$157,'Income Statement'!$L$157,'Income Statement'!$I$158,'Income Statement'!$J$158</definedName>
    <definedName name="QB_FORMULA_18" localSheetId="6" hidden="1">'Budget Comparison Bond'!#REF!,'Budget Comparison Bond'!#REF!</definedName>
    <definedName name="QB_FORMULA_18" localSheetId="5" hidden="1">'Income Statement'!$K$158,'Income Statement'!$L$158</definedName>
    <definedName name="QB_FORMULA_2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2" localSheetId="5" hidden="1">'Income Statement'!$K$23,'Income Statement'!$L$23,'Income Statement'!$K$24,'Income Statement'!$L$24,'Income Statement'!$K$25,'Income Statement'!$L$25,'Income Statement'!$I$26,'Income Statement'!$J$26,'Income Statement'!$K$26,'Income Statement'!$L$26,'Income Statement'!$I$27,'Income Statement'!$J$27,'Income Statement'!$K$27,'Income Statement'!$L$27,'Income Statement'!$I$28,'Income Statement'!$J$28</definedName>
    <definedName name="QB_FORMULA_3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3" localSheetId="5" hidden="1">'Income Statement'!$K$28,'Income Statement'!$L$28,'Income Statement'!$K$37,'Income Statement'!$L$37,'Income Statement'!$K$38,'Income Statement'!$L$38,'Income Statement'!$K$39,'Income Statement'!$L$39,'Income Statement'!$K$40,'Income Statement'!$L$40,'Income Statement'!$K$42,'Income Statement'!$L$42,'Income Statement'!$K$43,'Income Statement'!$L$43,'Income Statement'!$K$44,'Income Statement'!$L$44</definedName>
    <definedName name="QB_FORMULA_4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4" localSheetId="5" hidden="1">'Income Statement'!$K$45,'Income Statement'!$L$45,'Income Statement'!$I$46,'Income Statement'!$J$46,'Income Statement'!$K$46,'Income Statement'!$L$46,'Income Statement'!$K$47,'Income Statement'!$L$47,'Income Statement'!$K$49,'Income Statement'!$L$49,'Income Statement'!$K$50,'Income Statement'!$L$50,'Income Statement'!$K$51,'Income Statement'!$L$51,'Income Statement'!$K$52,'Income Statement'!$L$52</definedName>
    <definedName name="QB_FORMULA_5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5" localSheetId="5" hidden="1">'Income Statement'!$K$53,'Income Statement'!$L$53,'Income Statement'!$K$54,'Income Statement'!$L$54,'Income Statement'!$K$55,'Income Statement'!$L$55,'Income Statement'!$I$56,'Income Statement'!$J$56,'Income Statement'!$K$56,'Income Statement'!$L$56,'Income Statement'!$K$59,'Income Statement'!$L$59,'Income Statement'!$K$60,'Income Statement'!$L$60,'Income Statement'!$K$61,'Income Statement'!$L$61</definedName>
    <definedName name="QB_FORMULA_6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6" localSheetId="5" hidden="1">'Income Statement'!$I$62,'Income Statement'!$J$62,'Income Statement'!$K$62,'Income Statement'!$L$62,'Income Statement'!$K$64,'Income Statement'!$L$64,'Income Statement'!$K$65,'Income Statement'!$L$65,'Income Statement'!$K$66,'Income Statement'!$L$66,'Income Statement'!$K$67,'Income Statement'!$L$67,'Income Statement'!$I$69,'Income Statement'!$J$69,'Income Statement'!$K$69,'Income Statement'!$L$69</definedName>
    <definedName name="QB_FORMULA_7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7" localSheetId="5" hidden="1">'Income Statement'!$K$70,'Income Statement'!$L$70,'Income Statement'!$I$71,'Income Statement'!$J$71,'Income Statement'!$K$71,'Income Statement'!$L$71,'Income Statement'!$K$73,'Income Statement'!$L$73,'Income Statement'!$K$74,'Income Statement'!$L$74,'Income Statement'!$K$75,'Income Statement'!$L$75,'Income Statement'!$I$76,'Income Statement'!$J$76,'Income Statement'!$K$76,'Income Statement'!$L$76</definedName>
    <definedName name="QB_FORMULA_8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8" localSheetId="5" hidden="1">'Income Statement'!$K$77,'Income Statement'!$L$77,'Income Statement'!$K$78,'Income Statement'!$L$78,'Income Statement'!$K$80,'Income Statement'!$L$80,'Income Statement'!$K$81,'Income Statement'!$L$81,'Income Statement'!$K$82,'Income Statement'!$L$82,'Income Statement'!$K$83,'Income Statement'!$L$83,'Income Statement'!$K$84,'Income Statement'!$L$84,'Income Statement'!$I$85,'Income Statement'!$J$85</definedName>
    <definedName name="QB_FORMULA_9" localSheetId="6" hidden="1">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Bond'!#REF!,'Budget Comparison Bond'!#REF!</definedName>
    <definedName name="QB_FORMULA_9" localSheetId="5" hidden="1">'Income Statement'!$K$85,'Income Statement'!$L$85,'Income Statement'!$I$86,'Income Statement'!$J$86,'Income Statement'!$K$86,'Income Statement'!$L$86,'Income Statement'!$K$89,'Income Statement'!$L$89,'Income Statement'!$K$91,'Income Statement'!$L$91,'Income Statement'!$K$92,'Income Statement'!$L$92,'Income Statement'!$I$93,'Income Statement'!$J$93,'Income Statement'!$K$93,'Income Statement'!$L$93</definedName>
    <definedName name="QB_ROW_10050" localSheetId="6" hidden="1">'Budget Comparison Bond'!#REF!</definedName>
    <definedName name="QB_ROW_10050" localSheetId="5" hidden="1">'Income Statement'!$F$102</definedName>
    <definedName name="QB_ROW_10350" localSheetId="6" hidden="1">'Budget Comparison Bond'!#REF!</definedName>
    <definedName name="QB_ROW_10350" localSheetId="5" hidden="1">'Income Statement'!$F$108</definedName>
    <definedName name="QB_ROW_107250" localSheetId="6" hidden="1">'Budget Comparison Bond'!#REF!</definedName>
    <definedName name="QB_ROW_107250" localSheetId="5" hidden="1">'Income Statement'!$F$77</definedName>
    <definedName name="QB_ROW_11050" localSheetId="6" hidden="1">'Budget Comparison Bond'!#REF!</definedName>
    <definedName name="QB_ROW_11050" localSheetId="5" hidden="1">'Income Statement'!$F$41</definedName>
    <definedName name="QB_ROW_111040" localSheetId="6" hidden="1">'Budget Comparison Bond'!#REF!</definedName>
    <definedName name="QB_ROW_111040" localSheetId="5" hidden="1">'Income Statement'!$E$19</definedName>
    <definedName name="QB_ROW_111250" localSheetId="6" hidden="1">'Budget Comparison Bond'!#REF!</definedName>
    <definedName name="QB_ROW_111250" localSheetId="5" hidden="1">'Income Statement'!$F$25</definedName>
    <definedName name="QB_ROW_111340" localSheetId="6" hidden="1">'Budget Comparison Bond'!#REF!</definedName>
    <definedName name="QB_ROW_111340" localSheetId="5" hidden="1">'Income Statement'!$E$26</definedName>
    <definedName name="QB_ROW_11260" localSheetId="6" hidden="1">'Budget Comparison Bond'!#REF!</definedName>
    <definedName name="QB_ROW_11260" localSheetId="5" hidden="1">'Income Statement'!$G$45</definedName>
    <definedName name="QB_ROW_11350" localSheetId="6" hidden="1">'Budget Comparison Bond'!#REF!</definedName>
    <definedName name="QB_ROW_11350" localSheetId="5" hidden="1">'Income Statement'!$F$46</definedName>
    <definedName name="QB_ROW_114240" localSheetId="6" hidden="1">'Budget Comparison Bond'!#REF!</definedName>
    <definedName name="QB_ROW_114240" localSheetId="5" hidden="1">'Income Statement'!$E$6</definedName>
    <definedName name="QB_ROW_115040" localSheetId="6" hidden="1">'Budget Comparison Bond'!#REF!</definedName>
    <definedName name="QB_ROW_115040" localSheetId="5" hidden="1">'Income Statement'!$E$36</definedName>
    <definedName name="QB_ROW_115340" localSheetId="6" hidden="1">'Budget Comparison Bond'!#REF!</definedName>
    <definedName name="QB_ROW_115340" localSheetId="5" hidden="1">'Income Statement'!$E$86</definedName>
    <definedName name="QB_ROW_122250" localSheetId="6" hidden="1">'Budget Comparison Bond'!#REF!</definedName>
    <definedName name="QB_ROW_122250" localSheetId="5" hidden="1">'Income Statement'!$F$39</definedName>
    <definedName name="QB_ROW_12260" localSheetId="6" hidden="1">'Budget Comparison Bond'!#REF!</definedName>
    <definedName name="QB_ROW_12260" localSheetId="5" hidden="1">'Income Statement'!$G$43</definedName>
    <definedName name="QB_ROW_126050" localSheetId="6" hidden="1">'Budget Comparison Bond'!#REF!</definedName>
    <definedName name="QB_ROW_126050" localSheetId="5" hidden="1">'Income Statement'!$F$57</definedName>
    <definedName name="QB_ROW_126260" localSheetId="6" hidden="1">'Budget Comparison Bond'!#REF!</definedName>
    <definedName name="QB_ROW_126260" localSheetId="5" hidden="1">'Income Statement'!$G$70</definedName>
    <definedName name="QB_ROW_126350" localSheetId="6" hidden="1">'Budget Comparison Bond'!#REF!</definedName>
    <definedName name="QB_ROW_126350" localSheetId="5" hidden="1">'Income Statement'!$F$71</definedName>
    <definedName name="QB_ROW_13260" localSheetId="6" hidden="1">'Budget Comparison Bond'!#REF!</definedName>
    <definedName name="QB_ROW_13260" localSheetId="5" hidden="1">'Income Statement'!$G$44</definedName>
    <definedName name="QB_ROW_141250" localSheetId="6" hidden="1">'Budget Comparison Bond'!#REF!</definedName>
    <definedName name="QB_ROW_141250" localSheetId="5" hidden="1">'Income Statement'!$F$15</definedName>
    <definedName name="QB_ROW_14260" localSheetId="6" hidden="1">'Budget Comparison Bond'!#REF!</definedName>
    <definedName name="QB_ROW_14260" localSheetId="5" hidden="1">'Income Statement'!$G$53</definedName>
    <definedName name="QB_ROW_145270" localSheetId="6" hidden="1">'Budget Comparison Bond'!#REF!</definedName>
    <definedName name="QB_ROW_145270" localSheetId="5" hidden="1">'Income Statement'!$H$67</definedName>
    <definedName name="QB_ROW_148270" localSheetId="6" hidden="1">'Budget Comparison Bond'!#REF!</definedName>
    <definedName name="QB_ROW_148270" localSheetId="5" hidden="1">'Income Statement'!$H$60</definedName>
    <definedName name="QB_ROW_149270" localSheetId="6" hidden="1">'Budget Comparison Bond'!#REF!</definedName>
    <definedName name="QB_ROW_149270" localSheetId="5" hidden="1">'Income Statement'!$H$64</definedName>
    <definedName name="QB_ROW_150270" localSheetId="6" hidden="1">'Budget Comparison Bond'!#REF!</definedName>
    <definedName name="QB_ROW_150270" localSheetId="5" hidden="1">'Income Statement'!$H$65</definedName>
    <definedName name="QB_ROW_151270" localSheetId="6" hidden="1">'Budget Comparison Bond'!#REF!</definedName>
    <definedName name="QB_ROW_151270" localSheetId="5" hidden="1">'Income Statement'!$H$66</definedName>
    <definedName name="QB_ROW_15360" localSheetId="6" hidden="1">'Budget Comparison Bond'!#REF!</definedName>
    <definedName name="QB_ROW_15360" localSheetId="5" hidden="1">'Income Statement'!$G$89</definedName>
    <definedName name="QB_ROW_155250" localSheetId="6" hidden="1">'Budget Comparison Bond'!#REF!</definedName>
    <definedName name="QB_ROW_155250" localSheetId="5" hidden="1">'Income Statement'!$F$40</definedName>
    <definedName name="QB_ROW_160060" localSheetId="6" hidden="1">'Budget Comparison Bond'!#REF!</definedName>
    <definedName name="QB_ROW_160060" localSheetId="5" hidden="1">'Income Statement'!$G$58</definedName>
    <definedName name="QB_ROW_160270" localSheetId="6" hidden="1">'Budget Comparison Bond'!#REF!</definedName>
    <definedName name="QB_ROW_160270" localSheetId="5" hidden="1">'Income Statement'!$H$61</definedName>
    <definedName name="QB_ROW_160360" localSheetId="6" hidden="1">'Budget Comparison Bond'!#REF!</definedName>
    <definedName name="QB_ROW_160360" localSheetId="5" hidden="1">'Income Statement'!$G$62</definedName>
    <definedName name="QB_ROW_16050" localSheetId="6" hidden="1">'Budget Comparison Bond'!#REF!</definedName>
    <definedName name="QB_ROW_16050" localSheetId="5" hidden="1">'Income Statement'!$F$72</definedName>
    <definedName name="QB_ROW_161240" localSheetId="6" hidden="1">'Budget Comparison Bond'!#REF!</definedName>
    <definedName name="QB_ROW_161240" localSheetId="5" hidden="1">'Income Statement'!$E$110</definedName>
    <definedName name="QB_ROW_16350" localSheetId="6" hidden="1">'Budget Comparison Bond'!#REF!</definedName>
    <definedName name="QB_ROW_16350" localSheetId="5" hidden="1">'Income Statement'!$F$76</definedName>
    <definedName name="QB_ROW_165250" localSheetId="6" hidden="1">'Budget Comparison Bond'!#REF!</definedName>
    <definedName name="QB_ROW_165250" localSheetId="5" hidden="1">'Income Statement'!$F$124</definedName>
    <definedName name="QB_ROW_169030" localSheetId="6" hidden="1">'Budget Comparison Bond'!#REF!</definedName>
    <definedName name="QB_ROW_169030" localSheetId="5" hidden="1">'Income Statement'!$D$150</definedName>
    <definedName name="QB_ROW_169240" localSheetId="6" hidden="1">'Budget Comparison Bond'!#REF!</definedName>
    <definedName name="QB_ROW_169240" localSheetId="5" hidden="1">'Income Statement'!$E$153</definedName>
    <definedName name="QB_ROW_169330" localSheetId="6" hidden="1">'Budget Comparison Bond'!#REF!</definedName>
    <definedName name="QB_ROW_169330" localSheetId="5" hidden="1">'Income Statement'!$D$154</definedName>
    <definedName name="QB_ROW_170240" localSheetId="6" hidden="1">'Budget Comparison Bond'!#REF!</definedName>
    <definedName name="QB_ROW_170240" localSheetId="5" hidden="1">'Income Statement'!$E$151</definedName>
    <definedName name="QB_ROW_17260" localSheetId="6" hidden="1">'Budget Comparison Bond'!#REF!</definedName>
    <definedName name="QB_ROW_17260" localSheetId="5" hidden="1">'Income Statement'!$G$73</definedName>
    <definedName name="QB_ROW_180360" localSheetId="6" hidden="1">'Budget Comparison Bond'!#REF!</definedName>
    <definedName name="QB_ROW_180360" localSheetId="5" hidden="1">'Income Statement'!$G$91</definedName>
    <definedName name="QB_ROW_18301" localSheetId="6" hidden="1">'Budget Comparison Bond'!#REF!</definedName>
    <definedName name="QB_ROW_18301" localSheetId="5" hidden="1">'Income Statement'!$A$158</definedName>
    <definedName name="QB_ROW_186260" localSheetId="6" hidden="1">'Budget Comparison Bond'!#REF!</definedName>
    <definedName name="QB_ROW_186260" localSheetId="5" hidden="1">'Income Statement'!$G$51</definedName>
    <definedName name="QB_ROW_189260" localSheetId="6" hidden="1">'Budget Comparison Bond'!#REF!</definedName>
    <definedName name="QB_ROW_189260" localSheetId="5" hidden="1">'Income Statement'!$G$96</definedName>
    <definedName name="QB_ROW_19011" localSheetId="6" hidden="1">'Budget Comparison Bond'!#REF!</definedName>
    <definedName name="QB_ROW_19011" localSheetId="5" hidden="1">'Income Statement'!$B$3</definedName>
    <definedName name="QB_ROW_191040" localSheetId="6" hidden="1">'Budget Comparison Bond'!#REF!</definedName>
    <definedName name="QB_ROW_191040" localSheetId="5" hidden="1">'Income Statement'!$E$7</definedName>
    <definedName name="QB_ROW_191340" localSheetId="6" hidden="1">'Budget Comparison Bond'!#REF!</definedName>
    <definedName name="QB_ROW_191340" localSheetId="5" hidden="1">'Income Statement'!$E$12</definedName>
    <definedName name="QB_ROW_192240" localSheetId="6" hidden="1">'Budget Comparison Bond'!#REF!</definedName>
    <definedName name="QB_ROW_192240" localSheetId="5" hidden="1">'Income Statement'!$E$152</definedName>
    <definedName name="QB_ROW_19311" localSheetId="6" hidden="1">'Budget Comparison Bond'!#REF!</definedName>
    <definedName name="QB_ROW_19311" localSheetId="5" hidden="1">'Income Statement'!$B$112</definedName>
    <definedName name="QB_ROW_196250" localSheetId="6" hidden="1">'Budget Comparison Bond'!#REF!</definedName>
    <definedName name="QB_ROW_196250" localSheetId="5" hidden="1">'Income Statement'!$F$22</definedName>
    <definedName name="QB_ROW_197250" localSheetId="6" hidden="1">'Budget Comparison Bond'!#REF!</definedName>
    <definedName name="QB_ROW_197250" localSheetId="5" hidden="1">'Income Statement'!$F$127</definedName>
    <definedName name="QB_ROW_198250" localSheetId="6" hidden="1">'Budget Comparison Bond'!#REF!</definedName>
    <definedName name="QB_ROW_198250" localSheetId="5" hidden="1">'Income Statement'!$F$23</definedName>
    <definedName name="QB_ROW_20031" localSheetId="6" hidden="1">'Budget Comparison Bond'!#REF!</definedName>
    <definedName name="QB_ROW_20031" localSheetId="5" hidden="1">'Income Statement'!$D$4</definedName>
    <definedName name="QB_ROW_20331" localSheetId="6" hidden="1">'Budget Comparison Bond'!#REF!</definedName>
    <definedName name="QB_ROW_20331" localSheetId="5" hidden="1">'Income Statement'!$D$27</definedName>
    <definedName name="QB_ROW_204260" localSheetId="6" hidden="1">'Budget Comparison Bond'!#REF!</definedName>
    <definedName name="QB_ROW_204260" localSheetId="5" hidden="1">'Income Statement'!$G$98</definedName>
    <definedName name="QB_ROW_205260" localSheetId="6" hidden="1">'Budget Comparison Bond'!#REF!</definedName>
    <definedName name="QB_ROW_205260" localSheetId="5" hidden="1">'Income Statement'!$G$97</definedName>
    <definedName name="QB_ROW_208040" localSheetId="6" hidden="1">'Budget Comparison Bond'!#REF!</definedName>
    <definedName name="QB_ROW_208040" localSheetId="5" hidden="1">'Income Statement'!$E$13</definedName>
    <definedName name="QB_ROW_208340" localSheetId="6" hidden="1">'Budget Comparison Bond'!#REF!</definedName>
    <definedName name="QB_ROW_208340" localSheetId="5" hidden="1">'Income Statement'!$E$17</definedName>
    <definedName name="QB_ROW_209260" localSheetId="6" hidden="1">'Budget Comparison Bond'!#REF!</definedName>
    <definedName name="QB_ROW_209260" localSheetId="5" hidden="1">'Income Statement'!$G$52</definedName>
    <definedName name="QB_ROW_21031" localSheetId="6" hidden="1">'Budget Comparison Bond'!#REF!</definedName>
    <definedName name="QB_ROW_21031" localSheetId="5" hidden="1">'Income Statement'!$D$29</definedName>
    <definedName name="QB_ROW_21040" localSheetId="6" hidden="1">'Budget Comparison Bond'!#REF!</definedName>
    <definedName name="QB_ROW_21040" localSheetId="5" hidden="1">'Income Statement'!$E$87</definedName>
    <definedName name="QB_ROW_21331" localSheetId="6" hidden="1">'Budget Comparison Bond'!#REF!</definedName>
    <definedName name="QB_ROW_21331" localSheetId="5" hidden="1">'Income Statement'!$D$111</definedName>
    <definedName name="QB_ROW_21340" localSheetId="6" hidden="1">'Budget Comparison Bond'!#REF!</definedName>
    <definedName name="QB_ROW_21340" localSheetId="5" hidden="1">'Income Statement'!$E$109</definedName>
    <definedName name="QB_ROW_217260" localSheetId="6" hidden="1">'Budget Comparison Bond'!#REF!</definedName>
    <definedName name="QB_ROW_217260" localSheetId="5" hidden="1">'Income Statement'!$G$103</definedName>
    <definedName name="QB_ROW_22011" localSheetId="6" hidden="1">'Budget Comparison Bond'!#REF!</definedName>
    <definedName name="QB_ROW_22011" localSheetId="5" hidden="1">'Income Statement'!$B$113</definedName>
    <definedName name="QB_ROW_221260" localSheetId="6" hidden="1">'Budget Comparison Bond'!#REF!</definedName>
    <definedName name="QB_ROW_221260" localSheetId="5" hidden="1">'Income Statement'!$G$92</definedName>
    <definedName name="QB_ROW_22260" localSheetId="6" hidden="1">'Budget Comparison Bond'!#REF!</definedName>
    <definedName name="QB_ROW_22260" localSheetId="5" hidden="1">'Income Statement'!$G$104</definedName>
    <definedName name="QB_ROW_22311" localSheetId="6" hidden="1">'Budget Comparison Bond'!#REF!</definedName>
    <definedName name="QB_ROW_22311" localSheetId="5" hidden="1">'Income Statement'!$B$157</definedName>
    <definedName name="QB_ROW_23021" localSheetId="6" hidden="1">'Budget Comparison Bond'!#REF!</definedName>
    <definedName name="QB_ROW_23021" localSheetId="5" hidden="1">'Income Statement'!$C$114</definedName>
    <definedName name="QB_ROW_23050" localSheetId="6" hidden="1">'Budget Comparison Bond'!#REF!</definedName>
    <definedName name="QB_ROW_23050" localSheetId="5" hidden="1">'Income Statement'!$F$48</definedName>
    <definedName name="QB_ROW_23260" localSheetId="6" hidden="1">'Budget Comparison Bond'!#REF!</definedName>
    <definedName name="QB_ROW_23260" localSheetId="5" hidden="1">'Income Statement'!$G$55</definedName>
    <definedName name="QB_ROW_23321" localSheetId="6" hidden="1">'Budget Comparison Bond'!#REF!</definedName>
    <definedName name="QB_ROW_23321" localSheetId="5" hidden="1">'Income Statement'!$C$132</definedName>
    <definedName name="QB_ROW_23350" localSheetId="6" hidden="1">'Budget Comparison Bond'!#REF!</definedName>
    <definedName name="QB_ROW_23350" localSheetId="5" hidden="1">'Income Statement'!$F$56</definedName>
    <definedName name="QB_ROW_24021" localSheetId="6" hidden="1">'Budget Comparison Bond'!#REF!</definedName>
    <definedName name="QB_ROW_24021" localSheetId="5" hidden="1">'Income Statement'!$C$133</definedName>
    <definedName name="QB_ROW_24321" localSheetId="6" hidden="1">'Budget Comparison Bond'!#REF!</definedName>
    <definedName name="QB_ROW_24321" localSheetId="5" hidden="1">'Income Statement'!$C$156</definedName>
    <definedName name="QB_ROW_252250" localSheetId="6" hidden="1">'Budget Comparison Bond'!#REF!</definedName>
    <definedName name="QB_ROW_252250" localSheetId="5" hidden="1">'Income Statement'!$F$24</definedName>
    <definedName name="QB_ROW_257270" localSheetId="6" hidden="1">'Budget Comparison Bond'!#REF!</definedName>
    <definedName name="QB_ROW_257270" localSheetId="5" hidden="1">'Income Statement'!$H$59</definedName>
    <definedName name="QB_ROW_260260" localSheetId="6" hidden="1">'Budget Comparison Bond'!#REF!</definedName>
    <definedName name="QB_ROW_260260" localSheetId="5" hidden="1">'Income Statement'!$G$81</definedName>
    <definedName name="QB_ROW_261060" localSheetId="6" hidden="1">'Budget Comparison Bond'!#REF!</definedName>
    <definedName name="QB_ROW_261060" localSheetId="5" hidden="1">'Income Statement'!$G$63</definedName>
    <definedName name="QB_ROW_261360" localSheetId="6" hidden="1">'Budget Comparison Bond'!#REF!</definedName>
    <definedName name="QB_ROW_261360" localSheetId="5" hidden="1">'Income Statement'!$G$69</definedName>
    <definedName name="QB_ROW_264050" localSheetId="6" hidden="1">'Budget Comparison Bond'!#REF!</definedName>
    <definedName name="QB_ROW_264050" localSheetId="5" hidden="1">'Income Statement'!$F$88</definedName>
    <definedName name="QB_ROW_264350" localSheetId="6" hidden="1">'Budget Comparison Bond'!#REF!</definedName>
    <definedName name="QB_ROW_264350" localSheetId="5" hidden="1">'Income Statement'!$F$93</definedName>
    <definedName name="QB_ROW_265260" localSheetId="6" hidden="1">'Budget Comparison Bond'!#REF!</definedName>
    <definedName name="QB_ROW_265260" localSheetId="5" hidden="1">'Income Statement'!$G$95</definedName>
    <definedName name="QB_ROW_270260" localSheetId="6" hidden="1">'Budget Comparison Bond'!#REF!</definedName>
    <definedName name="QB_ROW_270260" localSheetId="5" hidden="1">'Income Statement'!$G$42</definedName>
    <definedName name="QB_ROW_27230" localSheetId="6" hidden="1">'Budget Comparison Bond'!#REF!</definedName>
    <definedName name="QB_ROW_27230" localSheetId="5" hidden="1">'Income Statement'!$D$155</definedName>
    <definedName name="QB_ROW_29240" localSheetId="6" hidden="1">'Budget Comparison Bond'!#REF!</definedName>
    <definedName name="QB_ROW_29240" localSheetId="5" hidden="1">'Income Statement'!$E$18</definedName>
    <definedName name="QB_ROW_312250" localSheetId="6" hidden="1">'Budget Comparison Bond'!#REF!</definedName>
    <definedName name="QB_ROW_312250" localSheetId="5" hidden="1">'Income Statement'!$F$8</definedName>
    <definedName name="QB_ROW_31260" localSheetId="6" hidden="1">'Budget Comparison Bond'!#REF!</definedName>
    <definedName name="QB_ROW_31260" localSheetId="5" hidden="1">'Income Statement'!$G$49</definedName>
    <definedName name="QB_ROW_313250" localSheetId="6" hidden="1">'Budget Comparison Bond'!#REF!</definedName>
    <definedName name="QB_ROW_313250" localSheetId="5" hidden="1">'Income Statement'!$F$9</definedName>
    <definedName name="QB_ROW_318250" localSheetId="6" hidden="1">'Budget Comparison Bond'!#REF!</definedName>
    <definedName name="QB_ROW_318250" localSheetId="5" hidden="1">'Income Statement'!$F$10</definedName>
    <definedName name="QB_ROW_32260" localSheetId="6" hidden="1">'Budget Comparison Bond'!#REF!</definedName>
    <definedName name="QB_ROW_32260" localSheetId="5" hidden="1">'Income Statement'!$G$106</definedName>
    <definedName name="QB_ROW_325250" localSheetId="6" hidden="1">'Budget Comparison Bond'!#REF!</definedName>
    <definedName name="QB_ROW_325250" localSheetId="5" hidden="1">'Income Statement'!$F$11</definedName>
    <definedName name="QB_ROW_327040" localSheetId="6" hidden="1">'Budget Comparison Bond'!#REF!</definedName>
    <definedName name="QB_ROW_327040" localSheetId="5" hidden="1">'Income Statement'!$E$123</definedName>
    <definedName name="QB_ROW_327340" localSheetId="6" hidden="1">'Budget Comparison Bond'!#REF!</definedName>
    <definedName name="QB_ROW_327340" localSheetId="5" hidden="1">'Income Statement'!$E$128</definedName>
    <definedName name="QB_ROW_336030" localSheetId="6" hidden="1">'Budget Comparison Bond'!#REF!</definedName>
    <definedName name="QB_ROW_336030" localSheetId="5" hidden="1">'Income Statement'!$D$115</definedName>
    <definedName name="QB_ROW_336330" localSheetId="6" hidden="1">'Budget Comparison Bond'!#REF!</definedName>
    <definedName name="QB_ROW_336330" localSheetId="5" hidden="1">'Income Statement'!$D$121</definedName>
    <definedName name="QB_ROW_337240" localSheetId="6" hidden="1">'Budget Comparison Bond'!#REF!</definedName>
    <definedName name="QB_ROW_337240" localSheetId="5" hidden="1">'Income Statement'!$E$116</definedName>
    <definedName name="QB_ROW_338240" localSheetId="6" hidden="1">'Budget Comparison Bond'!#REF!</definedName>
    <definedName name="QB_ROW_338240" localSheetId="5" hidden="1">'Income Statement'!$E$117</definedName>
    <definedName name="QB_ROW_340240" localSheetId="6" hidden="1">'Budget Comparison Bond'!#REF!</definedName>
    <definedName name="QB_ROW_340240" localSheetId="5" hidden="1">'Income Statement'!$E$119</definedName>
    <definedName name="QB_ROW_341240" localSheetId="6" hidden="1">'Budget Comparison Bond'!#REF!</definedName>
    <definedName name="QB_ROW_341240" localSheetId="5" hidden="1">'Income Statement'!$E$120</definedName>
    <definedName name="QB_ROW_343030" localSheetId="6" hidden="1">'Budget Comparison Bond'!#REF!</definedName>
    <definedName name="QB_ROW_343030" localSheetId="5" hidden="1">'Income Statement'!$D$134</definedName>
    <definedName name="QB_ROW_343240" localSheetId="6" hidden="1">'Budget Comparison Bond'!#REF!</definedName>
    <definedName name="QB_ROW_343240" localSheetId="5" hidden="1">'Income Statement'!$E$148</definedName>
    <definedName name="QB_ROW_343330" localSheetId="6" hidden="1">'Budget Comparison Bond'!#REF!</definedName>
    <definedName name="QB_ROW_343330" localSheetId="5" hidden="1">'Income Statement'!$D$149</definedName>
    <definedName name="QB_ROW_344240" localSheetId="6" hidden="1">'Budget Comparison Bond'!#REF!</definedName>
    <definedName name="QB_ROW_344240" localSheetId="5" hidden="1">'Income Statement'!$E$135</definedName>
    <definedName name="QB_ROW_345240" localSheetId="6" hidden="1">'Budget Comparison Bond'!#REF!</definedName>
    <definedName name="QB_ROW_345240" localSheetId="5" hidden="1">'Income Statement'!$E$136</definedName>
    <definedName name="QB_ROW_346240" localSheetId="6" hidden="1">'Budget Comparison Bond'!#REF!</definedName>
    <definedName name="QB_ROW_346240" localSheetId="5" hidden="1">'Income Statement'!$E$137</definedName>
    <definedName name="QB_ROW_347240" localSheetId="6" hidden="1">'Budget Comparison Bond'!#REF!</definedName>
    <definedName name="QB_ROW_347240" localSheetId="5" hidden="1">'Income Statement'!$E$138</definedName>
    <definedName name="QB_ROW_349240" localSheetId="6" hidden="1">'Budget Comparison Bond'!#REF!</definedName>
    <definedName name="QB_ROW_349240" localSheetId="5" hidden="1">'Income Statement'!$E$139</definedName>
    <definedName name="QB_ROW_351240" localSheetId="6" hidden="1">'Budget Comparison Bond'!#REF!</definedName>
    <definedName name="QB_ROW_351240" localSheetId="5" hidden="1">'Income Statement'!$E$140</definedName>
    <definedName name="QB_ROW_352240" localSheetId="6" hidden="1">'Budget Comparison Bond'!#REF!</definedName>
    <definedName name="QB_ROW_352240" localSheetId="5" hidden="1">'Income Statement'!$E$141</definedName>
    <definedName name="QB_ROW_35260" localSheetId="6" hidden="1">'Budget Comparison Bond'!#REF!</definedName>
    <definedName name="QB_ROW_35260" localSheetId="5" hidden="1">'Income Statement'!$G$100</definedName>
    <definedName name="QB_ROW_353240" localSheetId="6" hidden="1">'Budget Comparison Bond'!#REF!</definedName>
    <definedName name="QB_ROW_353240" localSheetId="5" hidden="1">'Income Statement'!$E$142</definedName>
    <definedName name="QB_ROW_354240" localSheetId="6" hidden="1">'Budget Comparison Bond'!#REF!</definedName>
    <definedName name="QB_ROW_354240" localSheetId="5" hidden="1">'Income Statement'!$E$143</definedName>
    <definedName name="QB_ROW_355240" localSheetId="6" hidden="1">'Budget Comparison Bond'!#REF!</definedName>
    <definedName name="QB_ROW_355240" localSheetId="5" hidden="1">'Income Statement'!$E$144</definedName>
    <definedName name="QB_ROW_358240" localSheetId="6" hidden="1">'Budget Comparison Bond'!#REF!</definedName>
    <definedName name="QB_ROW_358240" localSheetId="5" hidden="1">'Income Statement'!$E$145</definedName>
    <definedName name="QB_ROW_359240" localSheetId="6" hidden="1">'Budget Comparison Bond'!#REF!</definedName>
    <definedName name="QB_ROW_359240" localSheetId="5" hidden="1">'Income Statement'!$E$147</definedName>
    <definedName name="QB_ROW_364250" localSheetId="6" hidden="1">'Budget Comparison Bond'!#REF!</definedName>
    <definedName name="QB_ROW_364250" localSheetId="5" hidden="1">'Income Statement'!$F$20</definedName>
    <definedName name="QB_ROW_366240" localSheetId="6" hidden="1">'Budget Comparison Bond'!#REF!</definedName>
    <definedName name="QB_ROW_366240" localSheetId="5" hidden="1">'Income Statement'!$E$146</definedName>
    <definedName name="QB_ROW_41260" localSheetId="6" hidden="1">'Budget Comparison Bond'!#REF!</definedName>
    <definedName name="QB_ROW_41260" localSheetId="5" hidden="1">'Income Statement'!$G$80</definedName>
    <definedName name="QB_ROW_42250" localSheetId="6" hidden="1">'Budget Comparison Bond'!#REF!</definedName>
    <definedName name="QB_ROW_42250" localSheetId="5" hidden="1">'Income Statement'!$F$47</definedName>
    <definedName name="QB_ROW_44260" localSheetId="6" hidden="1">'Budget Comparison Bond'!#REF!</definedName>
    <definedName name="QB_ROW_44260" localSheetId="5" hidden="1">'Income Statement'!$G$54</definedName>
    <definedName name="QB_ROW_45050" localSheetId="6" hidden="1">'Budget Comparison Bond'!#REF!</definedName>
    <definedName name="QB_ROW_45050" localSheetId="5" hidden="1">'Income Statement'!$F$94</definedName>
    <definedName name="QB_ROW_45350" localSheetId="6" hidden="1">'Budget Comparison Bond'!#REF!</definedName>
    <definedName name="QB_ROW_45350" localSheetId="5" hidden="1">'Income Statement'!$F$101</definedName>
    <definedName name="QB_ROW_46260" localSheetId="6" hidden="1">'Budget Comparison Bond'!#REF!</definedName>
    <definedName name="QB_ROW_46260" localSheetId="5" hidden="1">'Income Statement'!$G$75</definedName>
    <definedName name="QB_ROW_50260" localSheetId="6" hidden="1">'Budget Comparison Bond'!#REF!</definedName>
    <definedName name="QB_ROW_50260" localSheetId="5" hidden="1">'Income Statement'!$G$105</definedName>
    <definedName name="QB_ROW_51260" localSheetId="6" hidden="1">'Budget Comparison Bond'!#REF!</definedName>
    <definedName name="QB_ROW_51260" localSheetId="5" hidden="1">'Income Statement'!$G$83</definedName>
    <definedName name="QB_ROW_52350" localSheetId="6" hidden="1">'Budget Comparison Bond'!#REF!</definedName>
    <definedName name="QB_ROW_52350" localSheetId="5" hidden="1">'Income Statement'!$F$78</definedName>
    <definedName name="QB_ROW_56050" localSheetId="6" hidden="1">'Budget Comparison Bond'!#REF!</definedName>
    <definedName name="QB_ROW_56050" localSheetId="5" hidden="1">'Income Statement'!$F$79</definedName>
    <definedName name="QB_ROW_56350" localSheetId="6" hidden="1">'Budget Comparison Bond'!#REF!</definedName>
    <definedName name="QB_ROW_56350" localSheetId="5" hidden="1">'Income Statement'!$F$85</definedName>
    <definedName name="QB_ROW_57260" localSheetId="6" hidden="1">'Budget Comparison Bond'!#REF!</definedName>
    <definedName name="QB_ROW_57260" localSheetId="5" hidden="1">'Income Statement'!$G$82</definedName>
    <definedName name="QB_ROW_58260" localSheetId="6" hidden="1">'Budget Comparison Bond'!#REF!</definedName>
    <definedName name="QB_ROW_58260" localSheetId="5" hidden="1">'Income Statement'!$G$84</definedName>
    <definedName name="QB_ROW_59240" localSheetId="6" hidden="1">'Budget Comparison Bond'!#REF!</definedName>
    <definedName name="QB_ROW_59240" localSheetId="5" hidden="1">'Income Statement'!$E$129</definedName>
    <definedName name="QB_ROW_60240" localSheetId="6" hidden="1">'Budget Comparison Bond'!#REF!</definedName>
    <definedName name="QB_ROW_60240" localSheetId="5" hidden="1">'Income Statement'!$E$5</definedName>
    <definedName name="QB_ROW_61250" localSheetId="6" hidden="1">'Budget Comparison Bond'!#REF!</definedName>
    <definedName name="QB_ROW_61250" localSheetId="5" hidden="1">'Income Statement'!$F$16</definedName>
    <definedName name="QB_ROW_79030" localSheetId="6" hidden="1">'Budget Comparison Bond'!#REF!</definedName>
    <definedName name="QB_ROW_79030" localSheetId="5" hidden="1">'Income Statement'!$D$122</definedName>
    <definedName name="QB_ROW_79330" localSheetId="6" hidden="1">'Budget Comparison Bond'!#REF!</definedName>
    <definedName name="QB_ROW_79330" localSheetId="5" hidden="1">'Income Statement'!$D$130</definedName>
    <definedName name="QB_ROW_80250" localSheetId="6" hidden="1">'Budget Comparison Bond'!#REF!</definedName>
    <definedName name="QB_ROW_80250" localSheetId="5" hidden="1">'Income Statement'!$F$38</definedName>
    <definedName name="QB_ROW_81260" localSheetId="6" hidden="1">'Budget Comparison Bond'!#REF!</definedName>
    <definedName name="QB_ROW_81260" localSheetId="5" hidden="1">'Income Statement'!$G$99</definedName>
    <definedName name="QB_ROW_85250" localSheetId="6" hidden="1">'Budget Comparison Bond'!#REF!</definedName>
    <definedName name="QB_ROW_85250" localSheetId="5" hidden="1">'Income Statement'!$F$37</definedName>
    <definedName name="QB_ROW_86321" localSheetId="6" hidden="1">'Budget Comparison Bond'!#REF!</definedName>
    <definedName name="QB_ROW_86321" localSheetId="5" hidden="1">'Income Statement'!$C$28</definedName>
    <definedName name="QB_ROW_92360" localSheetId="6" hidden="1">'Budget Comparison Bond'!#REF!</definedName>
    <definedName name="QB_ROW_92360" localSheetId="5" hidden="1">'Income Statement'!$G$107</definedName>
    <definedName name="QB_ROW_9250" localSheetId="6" hidden="1">'Budget Comparison Bond'!#REF!</definedName>
    <definedName name="QB_ROW_9250" localSheetId="5" hidden="1">'Income Statement'!$F$14</definedName>
    <definedName name="QB_ROW_97260" localSheetId="6" hidden="1">'Budget Comparison Bond'!#REF!</definedName>
    <definedName name="QB_ROW_97260" localSheetId="5" hidden="1">'Income Statement'!$G$50</definedName>
    <definedName name="QB_ROW_98260" localSheetId="6" hidden="1">'Budget Comparison Bond'!#REF!</definedName>
    <definedName name="QB_ROW_98260" localSheetId="5" hidden="1">'Income Statement'!$G$74</definedName>
    <definedName name="QBCANSUPPORTUPDATE" localSheetId="6">TRUE</definedName>
    <definedName name="QBCANSUPPORTUPDATE" localSheetId="5">TRUE</definedName>
    <definedName name="QBCOMPANYFILENAME" localSheetId="6">"C:\Users\jerem\Documents\Quickbooks\Mountain Green Sewer Imp District 10-12-2023.QBW"</definedName>
    <definedName name="QBCOMPANYFILENAME" localSheetId="5">"C:\Users\jerem\Documents\Quickbooks\Mountain Green Sewer Imp District 10-12-2023.QBW"</definedName>
    <definedName name="QBENDDATE" localSheetId="6">20231231</definedName>
    <definedName name="QBENDDATE" localSheetId="5">20231231</definedName>
    <definedName name="QBHEADERSONSCREEN" localSheetId="6">FALSE</definedName>
    <definedName name="QBHEADERSONSCREEN" localSheetId="5">FALSE</definedName>
    <definedName name="QBMETADATASIZE" localSheetId="6">5924</definedName>
    <definedName name="QBMETADATASIZE" localSheetId="5">5924</definedName>
    <definedName name="QBPRESERVECOLOR" localSheetId="6">TRUE</definedName>
    <definedName name="QBPRESERVECOLOR" localSheetId="5">TRUE</definedName>
    <definedName name="QBPRESERVEFONT" localSheetId="6">TRUE</definedName>
    <definedName name="QBPRESERVEFONT" localSheetId="5">TRUE</definedName>
    <definedName name="QBPRESERVEROWHEIGHT" localSheetId="6">TRUE</definedName>
    <definedName name="QBPRESERVEROWHEIGHT" localSheetId="5">TRUE</definedName>
    <definedName name="QBPRESERVESPACE" localSheetId="6">FALSE</definedName>
    <definedName name="QBPRESERVESPACE" localSheetId="5">FALSE</definedName>
    <definedName name="QBREPORTCOLAXIS" localSheetId="6">0</definedName>
    <definedName name="QBREPORTCOLAXIS" localSheetId="5">0</definedName>
    <definedName name="QBREPORTCOMPANYID" localSheetId="6">"ca3c8cca9dfa4b2b9b31cf72f31e3bde"</definedName>
    <definedName name="QBREPORTCOMPANYID" localSheetId="5">"ca3c8cca9dfa4b2b9b31cf72f31e3bde"</definedName>
    <definedName name="QBREPORTCOMPARECOL_ANNUALBUDGET" localSheetId="6">FALSE</definedName>
    <definedName name="QBREPORTCOMPARECOL_ANNUALBUDGET" localSheetId="5">FALSE</definedName>
    <definedName name="QBREPORTCOMPARECOL_AVGCOGS" localSheetId="6">FALSE</definedName>
    <definedName name="QBREPORTCOMPARECOL_AVGCOGS" localSheetId="5">FALSE</definedName>
    <definedName name="QBREPORTCOMPARECOL_AVGPRICE" localSheetId="6">FALSE</definedName>
    <definedName name="QBREPORTCOMPARECOL_AVGPRICE" localSheetId="5">FALSE</definedName>
    <definedName name="QBREPORTCOMPARECOL_BUDDIFF" localSheetId="6">FALSE</definedName>
    <definedName name="QBREPORTCOMPARECOL_BUDDIFF" localSheetId="5">FALSE</definedName>
    <definedName name="QBREPORTCOMPARECOL_BUDGET" localSheetId="6">FALSE</definedName>
    <definedName name="QBREPORTCOMPARECOL_BUDGET" localSheetId="5">FALSE</definedName>
    <definedName name="QBREPORTCOMPARECOL_BUDPCT" localSheetId="6">FALSE</definedName>
    <definedName name="QBREPORTCOMPARECOL_BUDPCT" localSheetId="5">FALSE</definedName>
    <definedName name="QBREPORTCOMPARECOL_COGS" localSheetId="6">FALSE</definedName>
    <definedName name="QBREPORTCOMPARECOL_COGS" localSheetId="5">FALSE</definedName>
    <definedName name="QBREPORTCOMPARECOL_EXCLUDEAMOUNT" localSheetId="6">FALSE</definedName>
    <definedName name="QBREPORTCOMPARECOL_EXCLUDEAMOUNT" localSheetId="5">FALSE</definedName>
    <definedName name="QBREPORTCOMPARECOL_EXCLUDECURPERIOD" localSheetId="6">FALSE</definedName>
    <definedName name="QBREPORTCOMPARECOL_EXCLUDECURPERIOD" localSheetId="5">FALSE</definedName>
    <definedName name="QBREPORTCOMPARECOL_FORECAST" localSheetId="6">FALSE</definedName>
    <definedName name="QBREPORTCOMPARECOL_FORECAST" localSheetId="5">FALSE</definedName>
    <definedName name="QBREPORTCOMPARECOL_GROSSMARGIN" localSheetId="6">FALSE</definedName>
    <definedName name="QBREPORTCOMPARECOL_GROSSMARGIN" localSheetId="5">FALSE</definedName>
    <definedName name="QBREPORTCOMPARECOL_GROSSMARGINPCT" localSheetId="6">FALSE</definedName>
    <definedName name="QBREPORTCOMPARECOL_GROSSMARGINPCT" localSheetId="5">FALSE</definedName>
    <definedName name="QBREPORTCOMPARECOL_HOURS" localSheetId="6">FALSE</definedName>
    <definedName name="QBREPORTCOMPARECOL_HOURS" localSheetId="5">FALSE</definedName>
    <definedName name="QBREPORTCOMPARECOL_PCTCOL" localSheetId="6">FALSE</definedName>
    <definedName name="QBREPORTCOMPARECOL_PCTCOL" localSheetId="5">FALSE</definedName>
    <definedName name="QBREPORTCOMPARECOL_PCTEXPENSE" localSheetId="6">FALSE</definedName>
    <definedName name="QBREPORTCOMPARECOL_PCTEXPENSE" localSheetId="5">FALSE</definedName>
    <definedName name="QBREPORTCOMPARECOL_PCTINCOME" localSheetId="6">FALSE</definedName>
    <definedName name="QBREPORTCOMPARECOL_PCTINCOME" localSheetId="5">FALSE</definedName>
    <definedName name="QBREPORTCOMPARECOL_PCTOFSALES" localSheetId="6">FALSE</definedName>
    <definedName name="QBREPORTCOMPARECOL_PCTOFSALES" localSheetId="5">FALSE</definedName>
    <definedName name="QBREPORTCOMPARECOL_PCTROW" localSheetId="6">FALSE</definedName>
    <definedName name="QBREPORTCOMPARECOL_PCTROW" localSheetId="5">FALSE</definedName>
    <definedName name="QBREPORTCOMPARECOL_PPDIFF" localSheetId="6">FALSE</definedName>
    <definedName name="QBREPORTCOMPARECOL_PPDIFF" localSheetId="5">FALSE</definedName>
    <definedName name="QBREPORTCOMPARECOL_PPPCT" localSheetId="6">FALSE</definedName>
    <definedName name="QBREPORTCOMPARECOL_PPPCT" localSheetId="5">FALSE</definedName>
    <definedName name="QBREPORTCOMPARECOL_PREVPERIOD" localSheetId="6">FALSE</definedName>
    <definedName name="QBREPORTCOMPARECOL_PREVPERIOD" localSheetId="5">FALSE</definedName>
    <definedName name="QBREPORTCOMPARECOL_PREVYEAR" localSheetId="6">TRUE</definedName>
    <definedName name="QBREPORTCOMPARECOL_PREVYEAR" localSheetId="5">TRUE</definedName>
    <definedName name="QBREPORTCOMPARECOL_PYDIFF" localSheetId="6">TRUE</definedName>
    <definedName name="QBREPORTCOMPARECOL_PYDIFF" localSheetId="5">TRUE</definedName>
    <definedName name="QBREPORTCOMPARECOL_PYPCT" localSheetId="6">TRUE</definedName>
    <definedName name="QBREPORTCOMPARECOL_PYPCT" localSheetId="5">TRUE</definedName>
    <definedName name="QBREPORTCOMPARECOL_QTY" localSheetId="6">FALSE</definedName>
    <definedName name="QBREPORTCOMPARECOL_QTY" localSheetId="5">FALSE</definedName>
    <definedName name="QBREPORTCOMPARECOL_RATE" localSheetId="6">FALSE</definedName>
    <definedName name="QBREPORTCOMPARECOL_RATE" localSheetId="5">FALSE</definedName>
    <definedName name="QBREPORTCOMPARECOL_TRIPBILLEDMILES" localSheetId="6">FALSE</definedName>
    <definedName name="QBREPORTCOMPARECOL_TRIPBILLEDMILES" localSheetId="5">FALSE</definedName>
    <definedName name="QBREPORTCOMPARECOL_TRIPBILLINGAMOUNT" localSheetId="6">FALSE</definedName>
    <definedName name="QBREPORTCOMPARECOL_TRIPBILLINGAMOUNT" localSheetId="5">FALSE</definedName>
    <definedName name="QBREPORTCOMPARECOL_TRIPMILES" localSheetId="6">FALSE</definedName>
    <definedName name="QBREPORTCOMPARECOL_TRIPMILES" localSheetId="5">FALSE</definedName>
    <definedName name="QBREPORTCOMPARECOL_TRIPNOTBILLABLEMILES" localSheetId="6">FALSE</definedName>
    <definedName name="QBREPORTCOMPARECOL_TRIPNOTBILLABLEMILES" localSheetId="5">FALSE</definedName>
    <definedName name="QBREPORTCOMPARECOL_TRIPTAXDEDUCTIBLEAMOUNT" localSheetId="6">FALSE</definedName>
    <definedName name="QBREPORTCOMPARECOL_TRIPTAXDEDUCTIBLEAMOUNT" localSheetId="5">FALSE</definedName>
    <definedName name="QBREPORTCOMPARECOL_TRIPUNBILLEDMILES" localSheetId="6">FALSE</definedName>
    <definedName name="QBREPORTCOMPARECOL_TRIPUNBILLEDMILES" localSheetId="5">FALSE</definedName>
    <definedName name="QBREPORTCOMPARECOL_YTD" localSheetId="6">FALSE</definedName>
    <definedName name="QBREPORTCOMPARECOL_YTD" localSheetId="5">FALSE</definedName>
    <definedName name="QBREPORTCOMPARECOL_YTDBUDGET" localSheetId="6">FALSE</definedName>
    <definedName name="QBREPORTCOMPARECOL_YTDBUDGET" localSheetId="5">FALSE</definedName>
    <definedName name="QBREPORTCOMPARECOL_YTDPCT" localSheetId="6">FALSE</definedName>
    <definedName name="QBREPORTCOMPARECOL_YTDPCT" localSheetId="5">FALSE</definedName>
    <definedName name="QBREPORTROWAXIS" localSheetId="6">11</definedName>
    <definedName name="QBREPORTROWAXIS" localSheetId="5">11</definedName>
    <definedName name="QBREPORTSUBCOLAXIS" localSheetId="6">24</definedName>
    <definedName name="QBREPORTSUBCOLAXIS" localSheetId="5">24</definedName>
    <definedName name="QBREPORTTYPE" localSheetId="6">1</definedName>
    <definedName name="QBREPORTTYPE" localSheetId="5">1</definedName>
    <definedName name="QBROWHEADERS" localSheetId="6">8</definedName>
    <definedName name="QBROWHEADERS" localSheetId="5">8</definedName>
    <definedName name="QBSTARTDATE" localSheetId="6">20230101</definedName>
    <definedName name="QBSTARTDATE" localSheetId="5">20230101</definedName>
  </definedNames>
  <calcPr calcId="191029"/>
</workbook>
</file>

<file path=xl/calcChain.xml><?xml version="1.0" encoding="utf-8"?>
<calcChain xmlns="http://schemas.openxmlformats.org/spreadsheetml/2006/main">
  <c r="G11" i="36" l="1"/>
  <c r="X56" i="33" l="1"/>
  <c r="Y56" i="33" s="1"/>
  <c r="Y55" i="33"/>
  <c r="E57" i="33"/>
  <c r="D30" i="35"/>
  <c r="H13" i="36"/>
  <c r="F56" i="33" l="1"/>
  <c r="D28" i="35"/>
  <c r="O142" i="37"/>
  <c r="H29" i="36"/>
  <c r="G29" i="36"/>
  <c r="F57" i="33" l="1"/>
  <c r="G56" i="33"/>
  <c r="G57" i="33" s="1"/>
  <c r="O78" i="37"/>
  <c r="O5" i="37"/>
  <c r="D15" i="35" l="1"/>
  <c r="C11" i="38" s="1"/>
  <c r="C5" i="38"/>
  <c r="C6" i="38"/>
  <c r="C7" i="38"/>
  <c r="C8" i="38"/>
  <c r="C9" i="38"/>
  <c r="C10" i="38"/>
  <c r="C15" i="38"/>
  <c r="C16" i="38"/>
  <c r="C17" i="38"/>
  <c r="C18" i="38"/>
  <c r="C19" i="38"/>
  <c r="C20" i="38"/>
  <c r="C21" i="38"/>
  <c r="C22" i="38"/>
  <c r="C23" i="38"/>
  <c r="C24" i="38"/>
  <c r="C25" i="38"/>
  <c r="C26" i="38"/>
  <c r="C27" i="38"/>
  <c r="C28" i="38"/>
  <c r="C31" i="38"/>
  <c r="C32" i="38"/>
  <c r="C33" i="38"/>
  <c r="C34" i="38"/>
  <c r="C35" i="38"/>
  <c r="C36" i="38"/>
  <c r="C37" i="38"/>
  <c r="C38" i="38"/>
  <c r="C40" i="38"/>
  <c r="C41" i="38"/>
  <c r="C42" i="38"/>
  <c r="C43" i="38"/>
  <c r="C44" i="38"/>
  <c r="C45" i="38"/>
  <c r="C46" i="38"/>
  <c r="C47" i="38"/>
  <c r="C48" i="38"/>
  <c r="C49" i="38"/>
  <c r="C50" i="38"/>
  <c r="C51" i="38"/>
  <c r="C52" i="38"/>
  <c r="C53" i="38"/>
  <c r="C62" i="38"/>
  <c r="A4" i="38"/>
  <c r="A5" i="38"/>
  <c r="A6" i="38"/>
  <c r="A7" i="38"/>
  <c r="A8" i="38"/>
  <c r="A9" i="38"/>
  <c r="A10" i="38"/>
  <c r="A11" i="38"/>
  <c r="A12" i="38"/>
  <c r="A14" i="38"/>
  <c r="A15" i="38"/>
  <c r="A16" i="38"/>
  <c r="A17" i="38"/>
  <c r="A18" i="38"/>
  <c r="A19" i="38"/>
  <c r="A20" i="38"/>
  <c r="A21" i="38"/>
  <c r="A22" i="38"/>
  <c r="A23" i="38"/>
  <c r="A24" i="38"/>
  <c r="A25" i="38"/>
  <c r="A26" i="38"/>
  <c r="A27" i="38"/>
  <c r="A28" i="38"/>
  <c r="A29" i="38"/>
  <c r="A31" i="38"/>
  <c r="A32" i="38"/>
  <c r="A33" i="38"/>
  <c r="A34" i="38"/>
  <c r="A35" i="38"/>
  <c r="A36" i="38"/>
  <c r="A37" i="38"/>
  <c r="A38" i="38"/>
  <c r="A39" i="38"/>
  <c r="A40" i="38"/>
  <c r="A41" i="38"/>
  <c r="A42" i="38"/>
  <c r="A43" i="38"/>
  <c r="A44" i="38"/>
  <c r="A45" i="38"/>
  <c r="A46" i="38"/>
  <c r="A47" i="38"/>
  <c r="A48" i="38"/>
  <c r="A49" i="38"/>
  <c r="A50" i="38"/>
  <c r="A51" i="38"/>
  <c r="A54" i="38"/>
  <c r="A56" i="38"/>
  <c r="A58" i="38"/>
  <c r="A59" i="38"/>
  <c r="A61" i="38"/>
  <c r="A62" i="38"/>
  <c r="A63" i="38"/>
  <c r="A3" i="38"/>
  <c r="D61" i="35"/>
  <c r="C56" i="38" s="1"/>
  <c r="D44" i="35"/>
  <c r="C39" i="38" s="1"/>
  <c r="L4" i="35"/>
  <c r="D8" i="35"/>
  <c r="C4" i="38" s="1"/>
  <c r="Q5" i="37"/>
  <c r="E81" i="33"/>
  <c r="C65" i="33"/>
  <c r="C66" i="33" s="1"/>
  <c r="B65" i="33"/>
  <c r="B66" i="33" s="1"/>
  <c r="D64" i="33"/>
  <c r="D66" i="33" s="1"/>
  <c r="E15" i="33"/>
  <c r="E8" i="33"/>
  <c r="F29" i="36" l="1"/>
  <c r="F28" i="36"/>
  <c r="F25" i="36"/>
  <c r="G10" i="36"/>
  <c r="G12" i="36"/>
  <c r="G13" i="36"/>
  <c r="F13" i="36"/>
  <c r="O132" i="37"/>
  <c r="O131" i="37"/>
  <c r="J132" i="37"/>
  <c r="J130" i="37"/>
  <c r="I121" i="37"/>
  <c r="J121" i="37"/>
  <c r="G14" i="36"/>
  <c r="F14" i="36"/>
  <c r="B24" i="35"/>
  <c r="C24" i="35"/>
  <c r="L24" i="35" s="1"/>
  <c r="I110" i="37"/>
  <c r="O146" i="37"/>
  <c r="O147" i="37"/>
  <c r="O148" i="37"/>
  <c r="O145" i="37"/>
  <c r="N116" i="37"/>
  <c r="O135" i="37"/>
  <c r="N125" i="37"/>
  <c r="O125" i="37" s="1"/>
  <c r="N126" i="37"/>
  <c r="O126" i="37" s="1"/>
  <c r="O118" i="37"/>
  <c r="N34" i="37"/>
  <c r="L34" i="37"/>
  <c r="K34" i="37"/>
  <c r="K33" i="37"/>
  <c r="L33" i="37"/>
  <c r="N33" i="37"/>
  <c r="O33" i="37" s="1"/>
  <c r="O32" i="37"/>
  <c r="O34" i="37" s="1"/>
  <c r="L32" i="37"/>
  <c r="K32" i="37"/>
  <c r="O31" i="37"/>
  <c r="L31" i="37"/>
  <c r="K31" i="37"/>
  <c r="K21" i="37"/>
  <c r="L21" i="37"/>
  <c r="N21" i="37"/>
  <c r="O21" i="37"/>
  <c r="O14" i="37"/>
  <c r="N14" i="37"/>
  <c r="N5" i="37" l="1"/>
  <c r="I132" i="37"/>
  <c r="I80" i="37"/>
  <c r="K68" i="37"/>
  <c r="L68" i="37"/>
  <c r="N68" i="37"/>
  <c r="O68" i="37" s="1"/>
  <c r="I14" i="37"/>
  <c r="J108" i="37"/>
  <c r="J80" i="37"/>
  <c r="J85" i="37"/>
  <c r="J69" i="37"/>
  <c r="J34" i="37"/>
  <c r="I34" i="37"/>
  <c r="J26" i="37"/>
  <c r="J17" i="37"/>
  <c r="J12" i="37"/>
  <c r="J46" i="37"/>
  <c r="J56" i="37"/>
  <c r="J62" i="37"/>
  <c r="J76" i="37"/>
  <c r="J93" i="37"/>
  <c r="J101" i="37"/>
  <c r="J71" i="37" l="1"/>
  <c r="J86" i="37" s="1"/>
  <c r="J109" i="37"/>
  <c r="J27" i="37"/>
  <c r="J28" i="37" s="1"/>
  <c r="J111" i="37" l="1"/>
  <c r="J112" i="37"/>
  <c r="O15" i="37" l="1"/>
  <c r="N40" i="37"/>
  <c r="L17" i="35" l="1"/>
  <c r="L18" i="35"/>
  <c r="L19" i="35"/>
  <c r="L35" i="35"/>
  <c r="L36" i="35"/>
  <c r="L37" i="35"/>
  <c r="L39" i="35"/>
  <c r="L42" i="35"/>
  <c r="L43" i="35"/>
  <c r="L50" i="35"/>
  <c r="L53" i="35"/>
  <c r="L58" i="35"/>
  <c r="L60" i="35"/>
  <c r="L62" i="35"/>
  <c r="L65" i="35"/>
  <c r="O155" i="37"/>
  <c r="O16" i="37"/>
  <c r="O11" i="37"/>
  <c r="O10" i="37"/>
  <c r="O9" i="37"/>
  <c r="O8" i="37"/>
  <c r="O6" i="37"/>
  <c r="O12" i="37" l="1"/>
  <c r="O17" i="37"/>
  <c r="N12" i="37" l="1"/>
  <c r="N17" i="37"/>
  <c r="N153" i="37"/>
  <c r="N152" i="37"/>
  <c r="O152" i="37" s="1"/>
  <c r="N151" i="37"/>
  <c r="O151" i="37" s="1"/>
  <c r="G33" i="36"/>
  <c r="X96" i="33" s="1"/>
  <c r="Y96" i="33" s="1"/>
  <c r="F96" i="33" s="1"/>
  <c r="G96" i="33" s="1"/>
  <c r="G32" i="36"/>
  <c r="X95" i="33" s="1"/>
  <c r="Y95" i="33" s="1"/>
  <c r="F95" i="33" s="1"/>
  <c r="G95" i="33" s="1"/>
  <c r="N144" i="37"/>
  <c r="O144" i="37" s="1"/>
  <c r="N143" i="37"/>
  <c r="O143" i="37" s="1"/>
  <c r="X92" i="33" s="1"/>
  <c r="Y92" i="33" s="1"/>
  <c r="F92" i="33" s="1"/>
  <c r="G92" i="33" s="1"/>
  <c r="N142" i="37"/>
  <c r="N141" i="37"/>
  <c r="O141" i="37" s="1"/>
  <c r="N140" i="37"/>
  <c r="O139" i="37"/>
  <c r="N136" i="37"/>
  <c r="O136" i="37" s="1"/>
  <c r="N129" i="37"/>
  <c r="O129" i="37" s="1"/>
  <c r="N127" i="37"/>
  <c r="O127" i="37" s="1"/>
  <c r="N124" i="37"/>
  <c r="O124" i="37" s="1"/>
  <c r="O120" i="37"/>
  <c r="O116" i="37"/>
  <c r="G8" i="36" s="1"/>
  <c r="X70" i="33" s="1"/>
  <c r="Y70" i="33" s="1"/>
  <c r="N110" i="37"/>
  <c r="O110" i="37" s="1"/>
  <c r="C61" i="35" s="1"/>
  <c r="N107" i="37"/>
  <c r="O107" i="37" s="1"/>
  <c r="C56" i="35" s="1"/>
  <c r="N106" i="37"/>
  <c r="N105" i="37"/>
  <c r="O105" i="37" s="1"/>
  <c r="C54" i="35" s="1"/>
  <c r="N104" i="37"/>
  <c r="O104" i="37" s="1"/>
  <c r="C52" i="35" s="1"/>
  <c r="N103" i="37"/>
  <c r="N100" i="37"/>
  <c r="O100" i="37" s="1"/>
  <c r="C49" i="35" s="1"/>
  <c r="N99" i="37"/>
  <c r="O99" i="37" s="1"/>
  <c r="C48" i="35" s="1"/>
  <c r="N98" i="37"/>
  <c r="O98" i="37" s="1"/>
  <c r="C47" i="35" s="1"/>
  <c r="N97" i="37"/>
  <c r="O97" i="37" s="1"/>
  <c r="N96" i="37"/>
  <c r="O96" i="37" s="1"/>
  <c r="N95" i="37"/>
  <c r="O95" i="37" s="1"/>
  <c r="N92" i="37"/>
  <c r="N91" i="37"/>
  <c r="N89" i="37"/>
  <c r="N84" i="37"/>
  <c r="O84" i="37" s="1"/>
  <c r="N83" i="37"/>
  <c r="O83" i="37" s="1"/>
  <c r="N82" i="37"/>
  <c r="O82" i="37" s="1"/>
  <c r="N81" i="37"/>
  <c r="O81" i="37" s="1"/>
  <c r="N77" i="37"/>
  <c r="O77" i="37" s="1"/>
  <c r="C31" i="35" s="1"/>
  <c r="N75" i="37"/>
  <c r="O75" i="37" s="1"/>
  <c r="N74" i="37"/>
  <c r="O74" i="37" s="1"/>
  <c r="N73" i="37"/>
  <c r="O73" i="37" s="1"/>
  <c r="N67" i="37"/>
  <c r="O67" i="37" s="1"/>
  <c r="N66" i="37"/>
  <c r="O66" i="37" s="1"/>
  <c r="N65" i="37"/>
  <c r="O65" i="37" s="1"/>
  <c r="N64" i="37"/>
  <c r="O64" i="37" s="1"/>
  <c r="N61" i="37"/>
  <c r="O61" i="37" s="1"/>
  <c r="N60" i="37"/>
  <c r="O60" i="37" s="1"/>
  <c r="N59" i="37"/>
  <c r="O59" i="37" s="1"/>
  <c r="N55" i="37"/>
  <c r="O55" i="37" s="1"/>
  <c r="N54" i="37"/>
  <c r="O54" i="37" s="1"/>
  <c r="N53" i="37"/>
  <c r="O53" i="37" s="1"/>
  <c r="N52" i="37"/>
  <c r="O52" i="37" s="1"/>
  <c r="N51" i="37"/>
  <c r="O51" i="37" s="1"/>
  <c r="N50" i="37"/>
  <c r="O50" i="37" s="1"/>
  <c r="N49" i="37"/>
  <c r="O49" i="37" s="1"/>
  <c r="O44" i="37"/>
  <c r="O43" i="37"/>
  <c r="O42" i="37"/>
  <c r="N41" i="37"/>
  <c r="O41" i="37" s="1"/>
  <c r="N39" i="37"/>
  <c r="N38" i="37"/>
  <c r="O38" i="37" s="1"/>
  <c r="C21" i="35" s="1"/>
  <c r="N37" i="37"/>
  <c r="N25" i="37"/>
  <c r="O25" i="37" s="1"/>
  <c r="N24" i="37"/>
  <c r="O24" i="37" s="1"/>
  <c r="N23" i="37"/>
  <c r="O23" i="37" s="1"/>
  <c r="N22" i="37"/>
  <c r="O22" i="37" s="1"/>
  <c r="N20" i="37"/>
  <c r="O20" i="37" s="1"/>
  <c r="X93" i="33"/>
  <c r="Y93" i="33" s="1"/>
  <c r="F93" i="33" s="1"/>
  <c r="G93" i="33" s="1"/>
  <c r="Y87" i="33"/>
  <c r="F87" i="33" s="1"/>
  <c r="G87" i="33" s="1"/>
  <c r="X86" i="33"/>
  <c r="Y86" i="33" s="1"/>
  <c r="F86" i="33" s="1"/>
  <c r="G86" i="33" s="1"/>
  <c r="Y82" i="33"/>
  <c r="F82" i="33" s="1"/>
  <c r="G82" i="33" s="1"/>
  <c r="X75" i="33"/>
  <c r="Y75" i="33" s="1"/>
  <c r="F75" i="33" s="1"/>
  <c r="G75" i="33" s="1"/>
  <c r="X73" i="33"/>
  <c r="Y73" i="33" s="1"/>
  <c r="F73" i="33" s="1"/>
  <c r="G73" i="33" s="1"/>
  <c r="X72" i="33"/>
  <c r="Y72" i="33" s="1"/>
  <c r="X51" i="33"/>
  <c r="X48" i="33"/>
  <c r="X41" i="33"/>
  <c r="X40" i="33"/>
  <c r="X37" i="33"/>
  <c r="B40" i="35"/>
  <c r="B41" i="35"/>
  <c r="C23" i="35"/>
  <c r="C12" i="35"/>
  <c r="C11" i="35"/>
  <c r="C13" i="35"/>
  <c r="C14" i="35"/>
  <c r="C45" i="35"/>
  <c r="C46" i="35"/>
  <c r="G28" i="36"/>
  <c r="X91" i="33" s="1"/>
  <c r="Y91" i="33" s="1"/>
  <c r="F91" i="33" s="1"/>
  <c r="G91" i="33" s="1"/>
  <c r="C9" i="35"/>
  <c r="C10" i="35"/>
  <c r="N47" i="37"/>
  <c r="O47" i="37" s="1"/>
  <c r="C26" i="35" s="1"/>
  <c r="N70" i="37"/>
  <c r="O70" i="37" s="1"/>
  <c r="E98" i="33"/>
  <c r="E77" i="33"/>
  <c r="E100" i="33" s="1"/>
  <c r="E32" i="33"/>
  <c r="Y77" i="33" l="1"/>
  <c r="O76" i="37"/>
  <c r="O69" i="37"/>
  <c r="O26" i="37"/>
  <c r="O27" i="37" s="1"/>
  <c r="O28" i="37" s="1"/>
  <c r="X83" i="33"/>
  <c r="Y83" i="33" s="1"/>
  <c r="F83" i="33" s="1"/>
  <c r="G83" i="33" s="1"/>
  <c r="N93" i="37"/>
  <c r="O128" i="37"/>
  <c r="G15" i="36" s="1"/>
  <c r="X76" i="33" s="1"/>
  <c r="Y76" i="33" s="1"/>
  <c r="O56" i="37"/>
  <c r="C27" i="35" s="1"/>
  <c r="N128" i="37"/>
  <c r="N130" i="37" s="1"/>
  <c r="N76" i="37"/>
  <c r="O91" i="37"/>
  <c r="C40" i="35" s="1"/>
  <c r="O138" i="37"/>
  <c r="G23" i="36" s="1"/>
  <c r="X85" i="33" s="1"/>
  <c r="Y85" i="33" s="1"/>
  <c r="F85" i="33" s="1"/>
  <c r="G85" i="33" s="1"/>
  <c r="N69" i="37"/>
  <c r="O89" i="37"/>
  <c r="O92" i="37"/>
  <c r="C41" i="35" s="1"/>
  <c r="O153" i="37"/>
  <c r="O154" i="37" s="1"/>
  <c r="N62" i="37"/>
  <c r="O137" i="37"/>
  <c r="G22" i="36" s="1"/>
  <c r="X84" i="33" s="1"/>
  <c r="Y84" i="33" s="1"/>
  <c r="F84" i="33" s="1"/>
  <c r="G84" i="33" s="1"/>
  <c r="O101" i="37"/>
  <c r="O140" i="37"/>
  <c r="G26" i="36" s="1"/>
  <c r="X89" i="33" s="1"/>
  <c r="Y89" i="33" s="1"/>
  <c r="F89" i="33" s="1"/>
  <c r="G89" i="33" s="1"/>
  <c r="N154" i="37"/>
  <c r="N56" i="37"/>
  <c r="O37" i="37"/>
  <c r="C20" i="35" s="1"/>
  <c r="N26" i="37"/>
  <c r="N27" i="37" s="1"/>
  <c r="N28" i="37" s="1"/>
  <c r="N108" i="37"/>
  <c r="O103" i="37"/>
  <c r="N46" i="37"/>
  <c r="C44" i="35"/>
  <c r="X42" i="33" s="1"/>
  <c r="C32" i="35"/>
  <c r="X30" i="33" s="1"/>
  <c r="Y30" i="33" s="1"/>
  <c r="O106" i="37"/>
  <c r="C55" i="35" s="1"/>
  <c r="X53" i="33" s="1"/>
  <c r="Y53" i="33" s="1"/>
  <c r="F53" i="33" s="1"/>
  <c r="G53" i="33" s="1"/>
  <c r="G20" i="36"/>
  <c r="X81" i="33" s="1"/>
  <c r="Y81" i="33" s="1"/>
  <c r="F81" i="33" s="1"/>
  <c r="N149" i="37"/>
  <c r="O39" i="37"/>
  <c r="C22" i="35" s="1"/>
  <c r="O62" i="37"/>
  <c r="O71" i="37" s="1"/>
  <c r="N80" i="37"/>
  <c r="N85" i="37" s="1"/>
  <c r="N121" i="37"/>
  <c r="O117" i="37"/>
  <c r="G9" i="36" s="1"/>
  <c r="X71" i="33" s="1"/>
  <c r="Y71" i="33" s="1"/>
  <c r="O46" i="37"/>
  <c r="C25" i="35" s="1"/>
  <c r="G31" i="36"/>
  <c r="X94" i="33" s="1"/>
  <c r="Y94" i="33" s="1"/>
  <c r="F94" i="33" s="1"/>
  <c r="G94" i="33" s="1"/>
  <c r="N101" i="37"/>
  <c r="X44" i="33"/>
  <c r="X52" i="33"/>
  <c r="Y52" i="33" s="1"/>
  <c r="F52" i="33" s="1"/>
  <c r="G52" i="33" s="1"/>
  <c r="X47" i="33"/>
  <c r="X50" i="33"/>
  <c r="X29" i="33"/>
  <c r="Y29" i="33" s="1"/>
  <c r="X23" i="33"/>
  <c r="X54" i="33"/>
  <c r="Y54" i="33" s="1"/>
  <c r="F54" i="33" s="1"/>
  <c r="X45" i="33"/>
  <c r="X43" i="33"/>
  <c r="X59" i="33"/>
  <c r="Y59" i="33" s="1"/>
  <c r="F59" i="33" s="1"/>
  <c r="G59" i="33" s="1"/>
  <c r="X46" i="33"/>
  <c r="C8" i="35"/>
  <c r="G25" i="36"/>
  <c r="X88" i="33" s="1"/>
  <c r="Y88" i="33" s="1"/>
  <c r="F88" i="33" s="1"/>
  <c r="G88" i="33" s="1"/>
  <c r="X74" i="33"/>
  <c r="Y74" i="33" s="1"/>
  <c r="F74" i="33" s="1"/>
  <c r="G74" i="33" s="1"/>
  <c r="C15" i="35"/>
  <c r="E99" i="33"/>
  <c r="E101" i="33" s="1"/>
  <c r="E62" i="33"/>
  <c r="Y62" i="33" l="1"/>
  <c r="E64" i="33"/>
  <c r="E66" i="33" s="1"/>
  <c r="C28" i="35"/>
  <c r="N156" i="37"/>
  <c r="N132" i="37"/>
  <c r="O130" i="37"/>
  <c r="N109" i="37"/>
  <c r="X39" i="33"/>
  <c r="L41" i="35"/>
  <c r="X38" i="33"/>
  <c r="L40" i="35"/>
  <c r="G27" i="36"/>
  <c r="X90" i="33" s="1"/>
  <c r="Y90" i="33" s="1"/>
  <c r="F90" i="33" s="1"/>
  <c r="G90" i="33" s="1"/>
  <c r="O93" i="37"/>
  <c r="O121" i="37"/>
  <c r="O149" i="37"/>
  <c r="O108" i="37"/>
  <c r="C51" i="35"/>
  <c r="X49" i="33" s="1"/>
  <c r="G81" i="33"/>
  <c r="C38" i="35"/>
  <c r="X36" i="33" s="1"/>
  <c r="N71" i="37"/>
  <c r="N86" i="37" s="1"/>
  <c r="O80" i="37"/>
  <c r="O85" i="37" s="1"/>
  <c r="O86" i="37" s="1"/>
  <c r="X24" i="33"/>
  <c r="N157" i="37"/>
  <c r="F27" i="36"/>
  <c r="F33" i="36"/>
  <c r="F31" i="36"/>
  <c r="F26" i="36"/>
  <c r="F23" i="36"/>
  <c r="F22" i="36"/>
  <c r="F21" i="36"/>
  <c r="F20" i="36"/>
  <c r="F11" i="36"/>
  <c r="F9" i="36"/>
  <c r="F8" i="36"/>
  <c r="B61" i="35"/>
  <c r="L61" i="35" s="1"/>
  <c r="B56" i="35"/>
  <c r="L56" i="35" s="1"/>
  <c r="B55" i="35"/>
  <c r="L55" i="35" s="1"/>
  <c r="B54" i="35"/>
  <c r="L54" i="35" s="1"/>
  <c r="B52" i="35"/>
  <c r="L52" i="35" s="1"/>
  <c r="B51" i="35"/>
  <c r="B49" i="35"/>
  <c r="L49" i="35" s="1"/>
  <c r="B48" i="35"/>
  <c r="L48" i="35" s="1"/>
  <c r="B47" i="35"/>
  <c r="L47" i="35" s="1"/>
  <c r="B46" i="35"/>
  <c r="L46" i="35" s="1"/>
  <c r="B45" i="35"/>
  <c r="L45" i="35" s="1"/>
  <c r="B44" i="35"/>
  <c r="L44" i="35" s="1"/>
  <c r="B38" i="35"/>
  <c r="B33" i="35"/>
  <c r="B32" i="35"/>
  <c r="L32" i="35" s="1"/>
  <c r="B31" i="35"/>
  <c r="L31" i="35" s="1"/>
  <c r="B28" i="35"/>
  <c r="L28" i="35" s="1"/>
  <c r="B29" i="35"/>
  <c r="B27" i="35"/>
  <c r="L27" i="35" s="1"/>
  <c r="B26" i="35"/>
  <c r="L26" i="35" s="1"/>
  <c r="B25" i="35"/>
  <c r="L25" i="35" s="1"/>
  <c r="B23" i="35"/>
  <c r="L23" i="35" s="1"/>
  <c r="B22" i="35"/>
  <c r="L22" i="35" s="1"/>
  <c r="B21" i="35"/>
  <c r="L21" i="35" s="1"/>
  <c r="B20" i="35"/>
  <c r="L20" i="35" s="1"/>
  <c r="B9" i="35"/>
  <c r="L9" i="35" s="1"/>
  <c r="B10" i="35"/>
  <c r="L10" i="35" s="1"/>
  <c r="B15" i="35"/>
  <c r="L15" i="35" s="1"/>
  <c r="B14" i="35"/>
  <c r="L14" i="35" s="1"/>
  <c r="B13" i="35"/>
  <c r="L13" i="35" s="1"/>
  <c r="B12" i="35"/>
  <c r="L12" i="35" s="1"/>
  <c r="B11" i="35"/>
  <c r="L11" i="35" s="1"/>
  <c r="B8" i="35"/>
  <c r="L8" i="35" s="1"/>
  <c r="L155" i="37"/>
  <c r="K155" i="37"/>
  <c r="J154" i="37"/>
  <c r="F30" i="36" s="1"/>
  <c r="I154" i="37"/>
  <c r="L153" i="37"/>
  <c r="K153" i="37"/>
  <c r="L152" i="37"/>
  <c r="K152" i="37"/>
  <c r="L151" i="37"/>
  <c r="K151" i="37"/>
  <c r="J149" i="37"/>
  <c r="I149" i="37"/>
  <c r="L148" i="37"/>
  <c r="K148" i="37"/>
  <c r="L147" i="37"/>
  <c r="K147" i="37"/>
  <c r="L146" i="37"/>
  <c r="K146" i="37"/>
  <c r="L145" i="37"/>
  <c r="K145" i="37"/>
  <c r="L144" i="37"/>
  <c r="K144" i="37"/>
  <c r="L143" i="37"/>
  <c r="K143" i="37"/>
  <c r="L142" i="37"/>
  <c r="K142" i="37"/>
  <c r="L141" i="37"/>
  <c r="K141" i="37"/>
  <c r="L140" i="37"/>
  <c r="K140" i="37"/>
  <c r="L139" i="37"/>
  <c r="K139" i="37"/>
  <c r="L138" i="37"/>
  <c r="K138" i="37"/>
  <c r="L137" i="37"/>
  <c r="K137" i="37"/>
  <c r="L136" i="37"/>
  <c r="K136" i="37"/>
  <c r="L135" i="37"/>
  <c r="K135" i="37"/>
  <c r="L129" i="37"/>
  <c r="K129" i="37"/>
  <c r="J128" i="37"/>
  <c r="I128" i="37"/>
  <c r="I130" i="37" s="1"/>
  <c r="L127" i="37"/>
  <c r="K127" i="37"/>
  <c r="L124" i="37"/>
  <c r="K124" i="37"/>
  <c r="L120" i="37"/>
  <c r="K120" i="37"/>
  <c r="L119" i="37"/>
  <c r="K119" i="37"/>
  <c r="L117" i="37"/>
  <c r="K117" i="37"/>
  <c r="L116" i="37"/>
  <c r="K116" i="37"/>
  <c r="L110" i="37"/>
  <c r="K110" i="37"/>
  <c r="I108" i="37"/>
  <c r="K108" i="37" s="1"/>
  <c r="L107" i="37"/>
  <c r="K107" i="37"/>
  <c r="L106" i="37"/>
  <c r="K106" i="37"/>
  <c r="L105" i="37"/>
  <c r="K105" i="37"/>
  <c r="L104" i="37"/>
  <c r="K104" i="37"/>
  <c r="L103" i="37"/>
  <c r="K103" i="37"/>
  <c r="I101" i="37"/>
  <c r="L100" i="37"/>
  <c r="K100" i="37"/>
  <c r="L99" i="37"/>
  <c r="K99" i="37"/>
  <c r="L98" i="37"/>
  <c r="K98" i="37"/>
  <c r="L97" i="37"/>
  <c r="K97" i="37"/>
  <c r="L96" i="37"/>
  <c r="K96" i="37"/>
  <c r="L95" i="37"/>
  <c r="K95" i="37"/>
  <c r="I93" i="37"/>
  <c r="L92" i="37"/>
  <c r="K92" i="37"/>
  <c r="L91" i="37"/>
  <c r="K91" i="37"/>
  <c r="L89" i="37"/>
  <c r="K89" i="37"/>
  <c r="I85" i="37"/>
  <c r="L84" i="37"/>
  <c r="K84" i="37"/>
  <c r="L83" i="37"/>
  <c r="K83" i="37"/>
  <c r="L82" i="37"/>
  <c r="K82" i="37"/>
  <c r="L81" i="37"/>
  <c r="K81" i="37"/>
  <c r="L80" i="37"/>
  <c r="K80" i="37"/>
  <c r="L78" i="37"/>
  <c r="K78" i="37"/>
  <c r="L77" i="37"/>
  <c r="K77" i="37"/>
  <c r="I76" i="37"/>
  <c r="L75" i="37"/>
  <c r="K75" i="37"/>
  <c r="L74" i="37"/>
  <c r="K74" i="37"/>
  <c r="L73" i="37"/>
  <c r="K73" i="37"/>
  <c r="L70" i="37"/>
  <c r="K70" i="37"/>
  <c r="I69" i="37"/>
  <c r="L69" i="37" s="1"/>
  <c r="L67" i="37"/>
  <c r="K67" i="37"/>
  <c r="L66" i="37"/>
  <c r="K66" i="37"/>
  <c r="L65" i="37"/>
  <c r="K65" i="37"/>
  <c r="L64" i="37"/>
  <c r="K64" i="37"/>
  <c r="I62" i="37"/>
  <c r="L61" i="37"/>
  <c r="K61" i="37"/>
  <c r="L60" i="37"/>
  <c r="K60" i="37"/>
  <c r="L59" i="37"/>
  <c r="K59" i="37"/>
  <c r="I56" i="37"/>
  <c r="L55" i="37"/>
  <c r="K55" i="37"/>
  <c r="L54" i="37"/>
  <c r="K54" i="37"/>
  <c r="L53" i="37"/>
  <c r="K53" i="37"/>
  <c r="L52" i="37"/>
  <c r="K52" i="37"/>
  <c r="L51" i="37"/>
  <c r="K51" i="37"/>
  <c r="L50" i="37"/>
  <c r="K50" i="37"/>
  <c r="L49" i="37"/>
  <c r="K49" i="37"/>
  <c r="L47" i="37"/>
  <c r="K47" i="37"/>
  <c r="I46" i="37"/>
  <c r="L46" i="37" s="1"/>
  <c r="L45" i="37"/>
  <c r="K45" i="37"/>
  <c r="L44" i="37"/>
  <c r="K44" i="37"/>
  <c r="L43" i="37"/>
  <c r="K43" i="37"/>
  <c r="L42" i="37"/>
  <c r="K42" i="37"/>
  <c r="L40" i="37"/>
  <c r="K40" i="37"/>
  <c r="L39" i="37"/>
  <c r="K39" i="37"/>
  <c r="L38" i="37"/>
  <c r="K38" i="37"/>
  <c r="L37" i="37"/>
  <c r="K37" i="37"/>
  <c r="I26" i="37"/>
  <c r="K26" i="37" s="1"/>
  <c r="L25" i="37"/>
  <c r="K25" i="37"/>
  <c r="L24" i="37"/>
  <c r="K24" i="37"/>
  <c r="L23" i="37"/>
  <c r="K23" i="37"/>
  <c r="L22" i="37"/>
  <c r="K22" i="37"/>
  <c r="L20" i="37"/>
  <c r="K20" i="37"/>
  <c r="L18" i="37"/>
  <c r="K18" i="37"/>
  <c r="I17" i="37"/>
  <c r="L16" i="37"/>
  <c r="K16" i="37"/>
  <c r="L15" i="37"/>
  <c r="K15" i="37"/>
  <c r="L14" i="37"/>
  <c r="K14" i="37"/>
  <c r="I12" i="37"/>
  <c r="L12" i="37" s="1"/>
  <c r="L11" i="37"/>
  <c r="K11" i="37"/>
  <c r="L10" i="37"/>
  <c r="K10" i="37"/>
  <c r="L9" i="37"/>
  <c r="K9" i="37"/>
  <c r="L8" i="37"/>
  <c r="K8" i="37"/>
  <c r="L6" i="37"/>
  <c r="K6" i="37"/>
  <c r="L5" i="37"/>
  <c r="K5" i="37"/>
  <c r="L38" i="35" l="1"/>
  <c r="N111" i="37"/>
  <c r="N112" i="37" s="1"/>
  <c r="N158" i="37" s="1"/>
  <c r="K69" i="37"/>
  <c r="L51" i="35"/>
  <c r="K46" i="37"/>
  <c r="I71" i="37"/>
  <c r="I86" i="37" s="1"/>
  <c r="L62" i="37"/>
  <c r="G98" i="33"/>
  <c r="L108" i="37"/>
  <c r="F98" i="33"/>
  <c r="F15" i="36"/>
  <c r="K154" i="37"/>
  <c r="L154" i="37"/>
  <c r="K149" i="37"/>
  <c r="L149" i="37"/>
  <c r="L121" i="37"/>
  <c r="K121" i="37"/>
  <c r="L93" i="37"/>
  <c r="L76" i="37"/>
  <c r="C29" i="35"/>
  <c r="K85" i="37"/>
  <c r="C33" i="35"/>
  <c r="L85" i="37"/>
  <c r="K17" i="37"/>
  <c r="L17" i="37"/>
  <c r="I27" i="37"/>
  <c r="I28" i="37" s="1"/>
  <c r="L130" i="37"/>
  <c r="K130" i="37"/>
  <c r="K12" i="37"/>
  <c r="K62" i="37"/>
  <c r="K93" i="37"/>
  <c r="I156" i="37"/>
  <c r="K56" i="37"/>
  <c r="L56" i="37"/>
  <c r="K76" i="37"/>
  <c r="K101" i="37"/>
  <c r="K128" i="37"/>
  <c r="L26" i="37"/>
  <c r="L101" i="37"/>
  <c r="L128" i="37"/>
  <c r="L71" i="37" l="1"/>
  <c r="K71" i="37"/>
  <c r="X31" i="33"/>
  <c r="Y31" i="33" s="1"/>
  <c r="F31" i="33" s="1"/>
  <c r="G31" i="33" s="1"/>
  <c r="L33" i="35"/>
  <c r="X28" i="33"/>
  <c r="Y28" i="33" s="1"/>
  <c r="F28" i="33" s="1"/>
  <c r="L29" i="35"/>
  <c r="I109" i="37"/>
  <c r="I111" i="37" s="1"/>
  <c r="L27" i="37"/>
  <c r="K27" i="37"/>
  <c r="L86" i="37"/>
  <c r="K86" i="37"/>
  <c r="K28" i="37"/>
  <c r="L28" i="37"/>
  <c r="L132" i="37"/>
  <c r="I157" i="37"/>
  <c r="K132" i="37"/>
  <c r="F72" i="33"/>
  <c r="G72" i="33" s="1"/>
  <c r="G54" i="33"/>
  <c r="Y46" i="33"/>
  <c r="F46" i="33" s="1"/>
  <c r="G46" i="33" s="1"/>
  <c r="Y38" i="33"/>
  <c r="G45" i="33"/>
  <c r="G38" i="33"/>
  <c r="G19" i="33"/>
  <c r="Y51" i="33"/>
  <c r="F51" i="33" s="1"/>
  <c r="G51" i="33" s="1"/>
  <c r="Y44" i="33"/>
  <c r="F44" i="33" s="1"/>
  <c r="G44" i="33" s="1"/>
  <c r="Y43" i="33"/>
  <c r="F43" i="33" s="1"/>
  <c r="G43" i="33" s="1"/>
  <c r="Y42" i="33"/>
  <c r="F42" i="33" s="1"/>
  <c r="G42" i="33" s="1"/>
  <c r="Y39" i="33"/>
  <c r="F39" i="33" s="1"/>
  <c r="G39" i="33" s="1"/>
  <c r="F30" i="33"/>
  <c r="G30" i="33" s="1"/>
  <c r="X27" i="33"/>
  <c r="X26" i="33"/>
  <c r="Y26" i="33" s="1"/>
  <c r="F26" i="33" s="1"/>
  <c r="G26" i="33" s="1"/>
  <c r="Y23" i="33"/>
  <c r="F23" i="33" s="1"/>
  <c r="X22" i="33"/>
  <c r="Y22" i="33" s="1"/>
  <c r="F22" i="33" s="1"/>
  <c r="G22" i="33" s="1"/>
  <c r="X20" i="33"/>
  <c r="Y20" i="33" s="1"/>
  <c r="F20" i="33" s="1"/>
  <c r="G20" i="33" s="1"/>
  <c r="Y40" i="33"/>
  <c r="F40" i="33" s="1"/>
  <c r="G40" i="33" s="1"/>
  <c r="Y41" i="33"/>
  <c r="F41" i="33" s="1"/>
  <c r="G41" i="33" s="1"/>
  <c r="Y45" i="33"/>
  <c r="Y47" i="33"/>
  <c r="F47" i="33" s="1"/>
  <c r="G47" i="33" s="1"/>
  <c r="Y48" i="33"/>
  <c r="F48" i="33" s="1"/>
  <c r="G48" i="33" s="1"/>
  <c r="Y49" i="33"/>
  <c r="F49" i="33" s="1"/>
  <c r="G49" i="33" s="1"/>
  <c r="Y50" i="33"/>
  <c r="F50" i="33" s="1"/>
  <c r="G50" i="33" s="1"/>
  <c r="X35" i="33"/>
  <c r="Y36" i="33"/>
  <c r="F36" i="33" s="1"/>
  <c r="Y37" i="33"/>
  <c r="F37" i="33" s="1"/>
  <c r="G37" i="33" s="1"/>
  <c r="Y34" i="33"/>
  <c r="F34" i="33" s="1"/>
  <c r="G34" i="33" s="1"/>
  <c r="X21" i="33"/>
  <c r="Y21" i="33" s="1"/>
  <c r="F21" i="33" s="1"/>
  <c r="G21" i="33" s="1"/>
  <c r="Y24" i="33"/>
  <c r="F24" i="33" s="1"/>
  <c r="G24" i="33" s="1"/>
  <c r="X25" i="33"/>
  <c r="Y25" i="33" s="1"/>
  <c r="F25" i="33" s="1"/>
  <c r="G25" i="33" s="1"/>
  <c r="X9" i="33"/>
  <c r="Y9" i="33" s="1"/>
  <c r="G9" i="33" s="1"/>
  <c r="X10" i="33"/>
  <c r="Y10" i="33" s="1"/>
  <c r="F10" i="33" s="1"/>
  <c r="G10" i="33" s="1"/>
  <c r="X12" i="33"/>
  <c r="Y12" i="33" s="1"/>
  <c r="X14" i="33"/>
  <c r="Y14" i="33" s="1"/>
  <c r="F14" i="33" s="1"/>
  <c r="G14" i="33" s="1"/>
  <c r="X8" i="33"/>
  <c r="Y8" i="33" s="1"/>
  <c r="F8" i="33" s="1"/>
  <c r="G35" i="36"/>
  <c r="F35" i="36"/>
  <c r="F16" i="36"/>
  <c r="G16" i="36"/>
  <c r="K27" i="36"/>
  <c r="H35" i="36"/>
  <c r="H16" i="36"/>
  <c r="H37" i="36" s="1"/>
  <c r="F71" i="33"/>
  <c r="E16" i="33"/>
  <c r="E61" i="33" s="1"/>
  <c r="D59" i="35"/>
  <c r="C54" i="38" s="1"/>
  <c r="Y61" i="33" l="1"/>
  <c r="G37" i="36"/>
  <c r="G36" i="36" s="1"/>
  <c r="G38" i="36" s="1"/>
  <c r="O156" i="37"/>
  <c r="O157" i="37" s="1"/>
  <c r="F37" i="36"/>
  <c r="J156" i="37"/>
  <c r="I112" i="37"/>
  <c r="I158" i="37" s="1"/>
  <c r="O109" i="37"/>
  <c r="O111" i="37" s="1"/>
  <c r="O112" i="37" s="1"/>
  <c r="Y35" i="33"/>
  <c r="F35" i="33" s="1"/>
  <c r="G35" i="33" s="1"/>
  <c r="X57" i="33"/>
  <c r="Y57" i="33" s="1"/>
  <c r="F12" i="33"/>
  <c r="G12" i="33" s="1"/>
  <c r="F29" i="33"/>
  <c r="G29" i="33" s="1"/>
  <c r="G28" i="33"/>
  <c r="G23" i="33"/>
  <c r="F76" i="33"/>
  <c r="G76" i="33" s="1"/>
  <c r="G71" i="33"/>
  <c r="X11" i="33"/>
  <c r="Y11" i="33" s="1"/>
  <c r="F11" i="33" s="1"/>
  <c r="G11" i="33" s="1"/>
  <c r="X15" i="33"/>
  <c r="Y15" i="33" s="1"/>
  <c r="F15" i="33" s="1"/>
  <c r="G15" i="33" s="1"/>
  <c r="X13" i="33"/>
  <c r="Y13" i="33" s="1"/>
  <c r="F13" i="33" s="1"/>
  <c r="G13" i="33" s="1"/>
  <c r="G36" i="33"/>
  <c r="G8" i="33"/>
  <c r="F70" i="33"/>
  <c r="Y27" i="33"/>
  <c r="F27" i="33" s="1"/>
  <c r="G27" i="33" s="1"/>
  <c r="H36" i="36"/>
  <c r="H38" i="36" s="1"/>
  <c r="F36" i="36"/>
  <c r="F38" i="36" s="1"/>
  <c r="G40" i="36" l="1"/>
  <c r="Y65" i="33"/>
  <c r="O158" i="37"/>
  <c r="J157" i="37"/>
  <c r="K156" i="37"/>
  <c r="L156" i="37"/>
  <c r="G70" i="33"/>
  <c r="G77" i="33" s="1"/>
  <c r="G100" i="33" s="1"/>
  <c r="F77" i="33"/>
  <c r="F100" i="33" s="1"/>
  <c r="G32" i="33"/>
  <c r="G62" i="33" s="1"/>
  <c r="G64" i="33" s="1"/>
  <c r="G66" i="33" s="1"/>
  <c r="F32" i="33"/>
  <c r="F16" i="33"/>
  <c r="F61" i="33" s="1"/>
  <c r="G16" i="33"/>
  <c r="G61" i="33" s="1"/>
  <c r="D16" i="35"/>
  <c r="C12" i="38" s="1"/>
  <c r="C16" i="35"/>
  <c r="B16" i="35"/>
  <c r="D34" i="35"/>
  <c r="C34" i="35"/>
  <c r="B34" i="35"/>
  <c r="B59" i="35"/>
  <c r="C59" i="35"/>
  <c r="E8" i="24"/>
  <c r="F8" i="24"/>
  <c r="E9" i="24"/>
  <c r="F9" i="24"/>
  <c r="E10" i="24"/>
  <c r="F10" i="24"/>
  <c r="E11" i="24"/>
  <c r="F11" i="24"/>
  <c r="E12" i="24"/>
  <c r="F12" i="24"/>
  <c r="E13" i="24"/>
  <c r="F13" i="24"/>
  <c r="E15" i="24"/>
  <c r="F15" i="24"/>
  <c r="C16" i="24"/>
  <c r="C59" i="24"/>
  <c r="C60" i="24"/>
  <c r="D16" i="24"/>
  <c r="D59" i="24"/>
  <c r="J19" i="24"/>
  <c r="E20" i="24"/>
  <c r="F20" i="24"/>
  <c r="E21" i="24"/>
  <c r="F21" i="24"/>
  <c r="E22" i="24"/>
  <c r="E32" i="24"/>
  <c r="F32" i="24"/>
  <c r="E23" i="24"/>
  <c r="F23" i="24"/>
  <c r="E24" i="24"/>
  <c r="F24" i="24"/>
  <c r="E25" i="24"/>
  <c r="F25" i="24"/>
  <c r="E26" i="24"/>
  <c r="F26" i="24"/>
  <c r="E27" i="24"/>
  <c r="F27" i="24"/>
  <c r="E28" i="24"/>
  <c r="F28" i="24"/>
  <c r="E29" i="24"/>
  <c r="F29" i="24"/>
  <c r="E30" i="24"/>
  <c r="F30" i="24"/>
  <c r="E31" i="24"/>
  <c r="F31" i="24"/>
  <c r="C32" i="24"/>
  <c r="D32" i="24"/>
  <c r="J17" i="24"/>
  <c r="E36" i="24"/>
  <c r="F36" i="24"/>
  <c r="E37" i="24"/>
  <c r="F37" i="24"/>
  <c r="E38" i="24"/>
  <c r="F38" i="24"/>
  <c r="E39" i="24"/>
  <c r="F39" i="24"/>
  <c r="E41" i="24"/>
  <c r="F41" i="24"/>
  <c r="E42" i="24"/>
  <c r="F42" i="24"/>
  <c r="E43" i="24"/>
  <c r="F43" i="24"/>
  <c r="E44" i="24"/>
  <c r="F44" i="24"/>
  <c r="E45" i="24"/>
  <c r="F45" i="24"/>
  <c r="E46" i="24"/>
  <c r="F46" i="24"/>
  <c r="E48" i="24"/>
  <c r="F48" i="24"/>
  <c r="E49" i="24"/>
  <c r="F49" i="24"/>
  <c r="E50" i="24"/>
  <c r="F50" i="24"/>
  <c r="E51" i="24"/>
  <c r="F51" i="24"/>
  <c r="E52" i="24"/>
  <c r="F52" i="24"/>
  <c r="E53" i="24"/>
  <c r="F53" i="24"/>
  <c r="C54" i="24"/>
  <c r="D54" i="24"/>
  <c r="E54" i="24"/>
  <c r="F54" i="24"/>
  <c r="D58" i="24"/>
  <c r="E58" i="24"/>
  <c r="F58" i="24"/>
  <c r="E56" i="24"/>
  <c r="F56" i="24"/>
  <c r="C58" i="24"/>
  <c r="K2" i="34"/>
  <c r="K4" i="34"/>
  <c r="K6" i="34"/>
  <c r="E5" i="34"/>
  <c r="K5" i="34"/>
  <c r="B8" i="34"/>
  <c r="C8" i="34"/>
  <c r="C16" i="34"/>
  <c r="C60" i="34"/>
  <c r="F8" i="34"/>
  <c r="G8" i="34"/>
  <c r="B9" i="34"/>
  <c r="C9" i="34"/>
  <c r="F9" i="34"/>
  <c r="G9" i="34"/>
  <c r="B10" i="34"/>
  <c r="C10" i="34"/>
  <c r="F10" i="34"/>
  <c r="G10" i="34"/>
  <c r="B11" i="34"/>
  <c r="B16" i="34"/>
  <c r="C11" i="34"/>
  <c r="E11" i="34"/>
  <c r="F11" i="34"/>
  <c r="G11" i="34"/>
  <c r="B12" i="34"/>
  <c r="C12" i="34"/>
  <c r="E12" i="34"/>
  <c r="F12" i="34"/>
  <c r="G12" i="34"/>
  <c r="J12" i="34"/>
  <c r="B13" i="34"/>
  <c r="C13" i="34"/>
  <c r="E13" i="34"/>
  <c r="E16" i="34"/>
  <c r="E60" i="34"/>
  <c r="B14" i="34"/>
  <c r="F14" i="34"/>
  <c r="G14" i="34"/>
  <c r="B15" i="34"/>
  <c r="C15" i="34"/>
  <c r="F15" i="34"/>
  <c r="G15" i="34"/>
  <c r="C18" i="34"/>
  <c r="C68" i="34"/>
  <c r="B21" i="34"/>
  <c r="C21" i="34"/>
  <c r="F21" i="34"/>
  <c r="G21" i="34"/>
  <c r="B22" i="34"/>
  <c r="F22" i="34"/>
  <c r="G22" i="34"/>
  <c r="B23" i="34"/>
  <c r="C23" i="34"/>
  <c r="E23" i="34"/>
  <c r="E33" i="34"/>
  <c r="E59" i="34"/>
  <c r="F59" i="34"/>
  <c r="G59" i="34"/>
  <c r="F23" i="34"/>
  <c r="G23" i="34"/>
  <c r="B24" i="34"/>
  <c r="C24" i="34"/>
  <c r="C33" i="34" s="1"/>
  <c r="C59" i="34" s="1"/>
  <c r="C61" i="34" s="1"/>
  <c r="E24" i="34"/>
  <c r="F24" i="34"/>
  <c r="G24" i="34"/>
  <c r="B25" i="34"/>
  <c r="E25" i="34"/>
  <c r="F25" i="34"/>
  <c r="G25" i="34"/>
  <c r="B26" i="34"/>
  <c r="E26" i="34"/>
  <c r="F26" i="34"/>
  <c r="G26" i="34"/>
  <c r="B27" i="34"/>
  <c r="C27" i="34"/>
  <c r="E27" i="34"/>
  <c r="F27" i="34"/>
  <c r="G27" i="34"/>
  <c r="B28" i="34"/>
  <c r="C28" i="34"/>
  <c r="E28" i="34"/>
  <c r="F28" i="34"/>
  <c r="G28" i="34"/>
  <c r="B29" i="34"/>
  <c r="F29" i="34"/>
  <c r="G29" i="34"/>
  <c r="B30" i="34"/>
  <c r="E30" i="34"/>
  <c r="F30" i="34"/>
  <c r="G30" i="34"/>
  <c r="B31" i="34"/>
  <c r="E31" i="34"/>
  <c r="F31" i="34"/>
  <c r="G31" i="34"/>
  <c r="B32" i="34"/>
  <c r="C32" i="34"/>
  <c r="F32" i="34"/>
  <c r="G32" i="34"/>
  <c r="B37" i="34"/>
  <c r="B55" i="34"/>
  <c r="B56" i="34"/>
  <c r="E37" i="34"/>
  <c r="F37" i="34"/>
  <c r="G37" i="34"/>
  <c r="B38" i="34"/>
  <c r="E38" i="34"/>
  <c r="F38" i="34"/>
  <c r="G38" i="34"/>
  <c r="B39" i="34"/>
  <c r="C39" i="34"/>
  <c r="E39" i="34"/>
  <c r="F39" i="34"/>
  <c r="G39" i="34"/>
  <c r="B40" i="34"/>
  <c r="E40" i="34"/>
  <c r="F40" i="34"/>
  <c r="G40" i="34"/>
  <c r="F41" i="34"/>
  <c r="B42" i="34"/>
  <c r="C42" i="34"/>
  <c r="C55" i="34"/>
  <c r="F42" i="34"/>
  <c r="G42" i="34"/>
  <c r="B43" i="34"/>
  <c r="F43" i="34"/>
  <c r="G43" i="34"/>
  <c r="B44" i="34"/>
  <c r="F44" i="34"/>
  <c r="G44" i="34"/>
  <c r="B45" i="34"/>
  <c r="C45" i="34"/>
  <c r="F45" i="34"/>
  <c r="G45" i="34"/>
  <c r="B46" i="34"/>
  <c r="C46" i="34"/>
  <c r="E46" i="34"/>
  <c r="F46" i="34"/>
  <c r="G46" i="34"/>
  <c r="B47" i="34"/>
  <c r="C47" i="34"/>
  <c r="F47" i="34"/>
  <c r="G47" i="34"/>
  <c r="F48" i="34"/>
  <c r="B49" i="34"/>
  <c r="F49" i="34"/>
  <c r="G49" i="34"/>
  <c r="B50" i="34"/>
  <c r="F50" i="34"/>
  <c r="G50" i="34"/>
  <c r="B51" i="34"/>
  <c r="C51" i="34"/>
  <c r="F51" i="34"/>
  <c r="G51" i="34"/>
  <c r="B52" i="34"/>
  <c r="C52" i="34"/>
  <c r="E52" i="34"/>
  <c r="E55" i="34"/>
  <c r="F55" i="34"/>
  <c r="G55" i="34"/>
  <c r="B53" i="34"/>
  <c r="E53" i="34"/>
  <c r="F53" i="34"/>
  <c r="G53" i="34"/>
  <c r="B54" i="34"/>
  <c r="E54" i="34"/>
  <c r="F54" i="34"/>
  <c r="G54" i="34"/>
  <c r="B57" i="34"/>
  <c r="C57" i="34"/>
  <c r="F57" i="34"/>
  <c r="G57" i="34"/>
  <c r="F61" i="34"/>
  <c r="G61" i="34"/>
  <c r="E64" i="34"/>
  <c r="K7" i="34"/>
  <c r="F64" i="34"/>
  <c r="G64" i="34"/>
  <c r="F65" i="34"/>
  <c r="J66" i="34"/>
  <c r="J64" i="34"/>
  <c r="J67" i="34"/>
  <c r="J68" i="34"/>
  <c r="F70" i="34"/>
  <c r="B71" i="34"/>
  <c r="B74" i="34"/>
  <c r="E71" i="34"/>
  <c r="F71" i="34"/>
  <c r="G71" i="34"/>
  <c r="B73" i="34"/>
  <c r="C73" i="34"/>
  <c r="C74" i="34"/>
  <c r="C80" i="34"/>
  <c r="F73" i="34"/>
  <c r="G73" i="34"/>
  <c r="F75" i="34"/>
  <c r="B76" i="34"/>
  <c r="F76" i="34"/>
  <c r="G76" i="34"/>
  <c r="B78" i="34"/>
  <c r="B79" i="34"/>
  <c r="C78" i="34"/>
  <c r="C79" i="34"/>
  <c r="E78" i="34"/>
  <c r="F78" i="34"/>
  <c r="G78" i="34"/>
  <c r="C5" i="30"/>
  <c r="D8" i="30"/>
  <c r="F8" i="30"/>
  <c r="G8" i="30"/>
  <c r="H8" i="30"/>
  <c r="G9" i="30"/>
  <c r="H9" i="30"/>
  <c r="D10" i="30"/>
  <c r="D16" i="30"/>
  <c r="D60" i="30"/>
  <c r="G10" i="30"/>
  <c r="G16" i="30"/>
  <c r="H16" i="30"/>
  <c r="D11" i="30"/>
  <c r="F11" i="30"/>
  <c r="F16" i="30"/>
  <c r="F60" i="30"/>
  <c r="F12" i="30"/>
  <c r="G12" i="30"/>
  <c r="H12" i="30"/>
  <c r="F13" i="30"/>
  <c r="G13" i="30"/>
  <c r="H13" i="30"/>
  <c r="G14" i="30"/>
  <c r="H14" i="30"/>
  <c r="D15" i="30"/>
  <c r="G15" i="30"/>
  <c r="H15" i="30"/>
  <c r="D18" i="30"/>
  <c r="G21" i="30"/>
  <c r="H21" i="30"/>
  <c r="G22" i="30"/>
  <c r="H22" i="30"/>
  <c r="D23" i="30"/>
  <c r="D33" i="30"/>
  <c r="F23" i="30"/>
  <c r="F24" i="30"/>
  <c r="G24" i="30"/>
  <c r="F25" i="30"/>
  <c r="G25" i="30"/>
  <c r="H25" i="30"/>
  <c r="G26" i="30"/>
  <c r="H26" i="30"/>
  <c r="D27" i="30"/>
  <c r="F27" i="30"/>
  <c r="G27" i="30"/>
  <c r="H27" i="30"/>
  <c r="G28" i="30"/>
  <c r="H28" i="30"/>
  <c r="G29" i="30"/>
  <c r="H29" i="30"/>
  <c r="G30" i="30"/>
  <c r="H30" i="30"/>
  <c r="F31" i="30"/>
  <c r="G31" i="30"/>
  <c r="H31" i="30"/>
  <c r="D32" i="30"/>
  <c r="F32" i="30"/>
  <c r="G32" i="30"/>
  <c r="H32" i="30"/>
  <c r="F37" i="30"/>
  <c r="G37" i="30"/>
  <c r="H37" i="30"/>
  <c r="F38" i="30"/>
  <c r="G38" i="30"/>
  <c r="H38" i="30"/>
  <c r="D39" i="30"/>
  <c r="D55" i="30"/>
  <c r="G39" i="30"/>
  <c r="H39" i="30"/>
  <c r="G40" i="30"/>
  <c r="H40" i="30"/>
  <c r="G41" i="30"/>
  <c r="G42" i="30"/>
  <c r="H42" i="30"/>
  <c r="D43" i="30"/>
  <c r="G43" i="30"/>
  <c r="H43" i="30"/>
  <c r="F44" i="30"/>
  <c r="G44" i="30"/>
  <c r="H44" i="30"/>
  <c r="D45" i="30"/>
  <c r="G45" i="30"/>
  <c r="H45" i="30"/>
  <c r="D46" i="30"/>
  <c r="F46" i="30"/>
  <c r="G46" i="30"/>
  <c r="H46" i="30"/>
  <c r="G47" i="30"/>
  <c r="H47" i="30"/>
  <c r="G48" i="30"/>
  <c r="F49" i="30"/>
  <c r="G49" i="30"/>
  <c r="H49" i="30"/>
  <c r="F50" i="30"/>
  <c r="G50" i="30"/>
  <c r="H50" i="30"/>
  <c r="G51" i="30"/>
  <c r="H51" i="30"/>
  <c r="F52" i="30"/>
  <c r="G52" i="30"/>
  <c r="H52" i="30"/>
  <c r="F53" i="30"/>
  <c r="G53" i="30"/>
  <c r="H53" i="30"/>
  <c r="F54" i="30"/>
  <c r="F55" i="30"/>
  <c r="G55" i="30"/>
  <c r="H55" i="30"/>
  <c r="D57" i="30"/>
  <c r="F57" i="30"/>
  <c r="G57" i="30"/>
  <c r="H57" i="30"/>
  <c r="E63" i="30"/>
  <c r="F73" i="30"/>
  <c r="F75" i="30"/>
  <c r="B75" i="30"/>
  <c r="C75" i="30"/>
  <c r="D75" i="30"/>
  <c r="D108" i="30"/>
  <c r="E75" i="30"/>
  <c r="E108" i="30"/>
  <c r="G75" i="30"/>
  <c r="D78" i="30"/>
  <c r="I80" i="30"/>
  <c r="I81" i="30"/>
  <c r="K81" i="30"/>
  <c r="I82" i="30"/>
  <c r="I83" i="30"/>
  <c r="I84" i="30"/>
  <c r="I85" i="30"/>
  <c r="D86" i="30"/>
  <c r="E86" i="30"/>
  <c r="F86" i="30"/>
  <c r="I86" i="30"/>
  <c r="F87" i="30"/>
  <c r="D87" i="30"/>
  <c r="E87" i="30"/>
  <c r="D88" i="30"/>
  <c r="E88" i="30"/>
  <c r="F88" i="30"/>
  <c r="I88" i="30"/>
  <c r="D89" i="30"/>
  <c r="E89" i="30"/>
  <c r="F89" i="30"/>
  <c r="I89" i="30"/>
  <c r="F90" i="30"/>
  <c r="D90" i="30"/>
  <c r="E90" i="30"/>
  <c r="D91" i="30"/>
  <c r="E91" i="30"/>
  <c r="F91" i="30"/>
  <c r="I91" i="30"/>
  <c r="F92" i="30"/>
  <c r="F107" i="30"/>
  <c r="D92" i="30"/>
  <c r="E92" i="30"/>
  <c r="D93" i="30"/>
  <c r="E93" i="30"/>
  <c r="F93" i="30"/>
  <c r="I93" i="30"/>
  <c r="F94" i="30"/>
  <c r="I94" i="30"/>
  <c r="F95" i="30"/>
  <c r="I95" i="30"/>
  <c r="F96" i="30"/>
  <c r="I96" i="30"/>
  <c r="F97" i="30"/>
  <c r="I97" i="30"/>
  <c r="F98" i="30"/>
  <c r="D98" i="30"/>
  <c r="E98" i="30"/>
  <c r="D99" i="30"/>
  <c r="E99" i="30"/>
  <c r="F99" i="30"/>
  <c r="I99" i="30"/>
  <c r="F100" i="30"/>
  <c r="D100" i="30"/>
  <c r="E100" i="30"/>
  <c r="I100" i="30"/>
  <c r="F101" i="30"/>
  <c r="I101" i="30"/>
  <c r="D101" i="30"/>
  <c r="E101" i="30"/>
  <c r="F102" i="30"/>
  <c r="D102" i="30"/>
  <c r="E102" i="30"/>
  <c r="F103" i="30"/>
  <c r="D103" i="30"/>
  <c r="E103" i="30"/>
  <c r="I103" i="30"/>
  <c r="F104" i="30"/>
  <c r="I104" i="30"/>
  <c r="D104" i="30"/>
  <c r="E104" i="30"/>
  <c r="F105" i="30"/>
  <c r="D105" i="30"/>
  <c r="E105" i="30"/>
  <c r="F108" i="30"/>
  <c r="G108" i="30"/>
  <c r="H108" i="30"/>
  <c r="G117" i="30"/>
  <c r="H117" i="30"/>
  <c r="G118" i="30"/>
  <c r="H118" i="30"/>
  <c r="G119" i="30"/>
  <c r="H119" i="30"/>
  <c r="G120" i="30"/>
  <c r="H120" i="30"/>
  <c r="F121" i="30"/>
  <c r="G121" i="30"/>
  <c r="H121" i="30"/>
  <c r="D122" i="30"/>
  <c r="F122" i="30"/>
  <c r="G122" i="30"/>
  <c r="C124" i="30"/>
  <c r="D131" i="30"/>
  <c r="G133" i="30"/>
  <c r="B134" i="30"/>
  <c r="C134" i="30"/>
  <c r="F134" i="30"/>
  <c r="G134" i="30"/>
  <c r="H134" i="30"/>
  <c r="B136" i="30"/>
  <c r="B137" i="30"/>
  <c r="D136" i="30"/>
  <c r="D137" i="30"/>
  <c r="D145" i="30"/>
  <c r="G136" i="30"/>
  <c r="H136" i="30"/>
  <c r="F137" i="30"/>
  <c r="G139" i="30"/>
  <c r="B140" i="30"/>
  <c r="B144" i="30"/>
  <c r="C144" i="30"/>
  <c r="G140" i="30"/>
  <c r="H140" i="30"/>
  <c r="B143" i="30"/>
  <c r="D143" i="30"/>
  <c r="D144" i="30"/>
  <c r="C143" i="30"/>
  <c r="F143" i="30"/>
  <c r="G143" i="30"/>
  <c r="H143" i="30"/>
  <c r="B13" i="31"/>
  <c r="C13" i="31"/>
  <c r="G13" i="31"/>
  <c r="H13" i="31"/>
  <c r="F18" i="31"/>
  <c r="F34" i="31"/>
  <c r="I18" i="31"/>
  <c r="F19" i="31"/>
  <c r="I19" i="31"/>
  <c r="F20" i="31"/>
  <c r="I20" i="31"/>
  <c r="F21" i="31"/>
  <c r="I21" i="31"/>
  <c r="I22" i="31"/>
  <c r="F23" i="31"/>
  <c r="I23" i="31"/>
  <c r="I24" i="31"/>
  <c r="I25" i="31"/>
  <c r="F26" i="31"/>
  <c r="I26" i="31"/>
  <c r="F27" i="31"/>
  <c r="I27" i="31"/>
  <c r="I28" i="31"/>
  <c r="I29" i="31"/>
  <c r="F30" i="31"/>
  <c r="I30" i="31"/>
  <c r="I31" i="31"/>
  <c r="F32" i="31"/>
  <c r="I32" i="31"/>
  <c r="C5" i="32"/>
  <c r="D8" i="32"/>
  <c r="F8" i="32"/>
  <c r="G8" i="32"/>
  <c r="D9" i="32"/>
  <c r="G9" i="32"/>
  <c r="H9" i="32"/>
  <c r="D10" i="32"/>
  <c r="G10" i="32"/>
  <c r="H10" i="32"/>
  <c r="D11" i="32"/>
  <c r="G11" i="32"/>
  <c r="H11" i="32"/>
  <c r="D12" i="32"/>
  <c r="G12" i="32"/>
  <c r="H12" i="32"/>
  <c r="D13" i="32"/>
  <c r="G13" i="32"/>
  <c r="H13" i="32"/>
  <c r="D14" i="32"/>
  <c r="G14" i="32"/>
  <c r="H14" i="32"/>
  <c r="D15" i="32"/>
  <c r="G15" i="32"/>
  <c r="H15" i="32"/>
  <c r="D18" i="32"/>
  <c r="D21" i="32"/>
  <c r="G21" i="32"/>
  <c r="H21" i="32"/>
  <c r="D22" i="32"/>
  <c r="G22" i="32"/>
  <c r="D23" i="32"/>
  <c r="G23" i="32"/>
  <c r="H23" i="32"/>
  <c r="D24" i="32"/>
  <c r="G24" i="32"/>
  <c r="H24" i="32"/>
  <c r="D25" i="32"/>
  <c r="G25" i="32"/>
  <c r="H25" i="32"/>
  <c r="D26" i="32"/>
  <c r="G26" i="32"/>
  <c r="H26" i="32"/>
  <c r="D27" i="32"/>
  <c r="G27" i="32"/>
  <c r="H27" i="32"/>
  <c r="D28" i="32"/>
  <c r="G28" i="32"/>
  <c r="H28" i="32"/>
  <c r="D29" i="32"/>
  <c r="G29" i="32"/>
  <c r="H29" i="32"/>
  <c r="D30" i="32"/>
  <c r="G30" i="32"/>
  <c r="H30" i="32"/>
  <c r="D31" i="32"/>
  <c r="G31" i="32"/>
  <c r="H31" i="32"/>
  <c r="D32" i="32"/>
  <c r="G32" i="32"/>
  <c r="H32" i="32"/>
  <c r="F33" i="32"/>
  <c r="D37" i="32"/>
  <c r="G37" i="32"/>
  <c r="H37" i="32"/>
  <c r="D38" i="32"/>
  <c r="G38" i="32"/>
  <c r="H38" i="32"/>
  <c r="D39" i="32"/>
  <c r="G39" i="32"/>
  <c r="H39" i="32"/>
  <c r="D40" i="32"/>
  <c r="G40" i="32"/>
  <c r="H40" i="32"/>
  <c r="D41" i="32"/>
  <c r="G41" i="32"/>
  <c r="D42" i="32"/>
  <c r="F42" i="32"/>
  <c r="G42" i="32"/>
  <c r="H42" i="32"/>
  <c r="D43" i="32"/>
  <c r="G43" i="32"/>
  <c r="H43" i="32"/>
  <c r="D44" i="32"/>
  <c r="G44" i="32"/>
  <c r="H44" i="32"/>
  <c r="D45" i="32"/>
  <c r="G45" i="32"/>
  <c r="H45" i="32"/>
  <c r="D46" i="32"/>
  <c r="G46" i="32"/>
  <c r="H46" i="32"/>
  <c r="D47" i="32"/>
  <c r="G47" i="32"/>
  <c r="H47" i="32"/>
  <c r="D48" i="32"/>
  <c r="G48" i="32"/>
  <c r="D49" i="32"/>
  <c r="G49" i="32"/>
  <c r="H49" i="32"/>
  <c r="D50" i="32"/>
  <c r="G50" i="32"/>
  <c r="H50" i="32"/>
  <c r="D51" i="32"/>
  <c r="G51" i="32"/>
  <c r="H51" i="32"/>
  <c r="D52" i="32"/>
  <c r="G52" i="32"/>
  <c r="H52" i="32"/>
  <c r="D53" i="32"/>
  <c r="G53" i="32"/>
  <c r="H53" i="32"/>
  <c r="D54" i="32"/>
  <c r="G54" i="32"/>
  <c r="H54" i="32"/>
  <c r="D57" i="32"/>
  <c r="F57" i="32"/>
  <c r="G57" i="32"/>
  <c r="H57" i="32"/>
  <c r="E63" i="32"/>
  <c r="I16" i="36"/>
  <c r="J16" i="36" s="1"/>
  <c r="K23" i="36"/>
  <c r="K24" i="36"/>
  <c r="K26" i="36"/>
  <c r="K28" i="36"/>
  <c r="K29" i="36"/>
  <c r="K30" i="36"/>
  <c r="K31" i="36"/>
  <c r="K33" i="36"/>
  <c r="I35" i="36"/>
  <c r="J35" i="36" s="1"/>
  <c r="I37" i="36"/>
  <c r="J37" i="36" s="1"/>
  <c r="H22" i="32"/>
  <c r="C140" i="30"/>
  <c r="G137" i="30"/>
  <c r="H137" i="30"/>
  <c r="I98" i="30"/>
  <c r="G23" i="30"/>
  <c r="G11" i="30"/>
  <c r="E79" i="34"/>
  <c r="F79" i="34"/>
  <c r="G79" i="34"/>
  <c r="J18" i="24"/>
  <c r="E16" i="24"/>
  <c r="E74" i="34"/>
  <c r="H11" i="30"/>
  <c r="F74" i="34"/>
  <c r="G74" i="34"/>
  <c r="H23" i="30"/>
  <c r="G60" i="30"/>
  <c r="H60" i="30"/>
  <c r="D60" i="24"/>
  <c r="E59" i="24"/>
  <c r="F59" i="24"/>
  <c r="B60" i="34"/>
  <c r="F146" i="30"/>
  <c r="F141" i="30"/>
  <c r="F144" i="30"/>
  <c r="G34" i="31"/>
  <c r="H34" i="31"/>
  <c r="F11" i="31"/>
  <c r="F13" i="31"/>
  <c r="F35" i="31"/>
  <c r="G35" i="31"/>
  <c r="H35" i="31"/>
  <c r="F36" i="31"/>
  <c r="E62" i="34"/>
  <c r="E63" i="34"/>
  <c r="F60" i="34"/>
  <c r="G60" i="34"/>
  <c r="G16" i="32"/>
  <c r="H16" i="32"/>
  <c r="H8" i="32"/>
  <c r="F109" i="30"/>
  <c r="B145" i="30"/>
  <c r="C137" i="30"/>
  <c r="K8" i="34"/>
  <c r="H24" i="30"/>
  <c r="G33" i="30"/>
  <c r="H33" i="30"/>
  <c r="E107" i="30"/>
  <c r="E109" i="30"/>
  <c r="D107" i="30"/>
  <c r="D109" i="30"/>
  <c r="D59" i="30"/>
  <c r="D62" i="30"/>
  <c r="D63" i="30"/>
  <c r="B80" i="34"/>
  <c r="F33" i="34"/>
  <c r="G33" i="34"/>
  <c r="H75" i="30"/>
  <c r="I92" i="30"/>
  <c r="F55" i="32"/>
  <c r="F16" i="32"/>
  <c r="F59" i="32"/>
  <c r="G54" i="30"/>
  <c r="H54" i="30"/>
  <c r="H10" i="30"/>
  <c r="F13" i="34"/>
  <c r="G13" i="34"/>
  <c r="F16" i="24"/>
  <c r="F22" i="24"/>
  <c r="F52" i="34"/>
  <c r="G52" i="34"/>
  <c r="I105" i="30"/>
  <c r="I102" i="30"/>
  <c r="C136" i="30"/>
  <c r="J16" i="24"/>
  <c r="F33" i="30"/>
  <c r="F59" i="30"/>
  <c r="G59" i="30"/>
  <c r="H59" i="30"/>
  <c r="E80" i="34"/>
  <c r="F80" i="34"/>
  <c r="G80" i="34"/>
  <c r="G33" i="32"/>
  <c r="H33" i="32"/>
  <c r="I90" i="30"/>
  <c r="I87" i="30"/>
  <c r="B33" i="34"/>
  <c r="B59" i="34"/>
  <c r="B61" i="34"/>
  <c r="G144" i="30"/>
  <c r="H144" i="30"/>
  <c r="F145" i="30"/>
  <c r="G145" i="30"/>
  <c r="H145" i="30"/>
  <c r="G59" i="32"/>
  <c r="H59" i="32"/>
  <c r="G107" i="30"/>
  <c r="H107" i="30"/>
  <c r="F60" i="32"/>
  <c r="G60" i="32"/>
  <c r="H60" i="32"/>
  <c r="G55" i="32"/>
  <c r="H55" i="32"/>
  <c r="E60" i="24"/>
  <c r="F60" i="24"/>
  <c r="J20" i="24"/>
  <c r="F16" i="34"/>
  <c r="G16" i="34"/>
  <c r="F62" i="30"/>
  <c r="E66" i="34"/>
  <c r="F66" i="34"/>
  <c r="F63" i="34"/>
  <c r="F62" i="32"/>
  <c r="G62" i="30"/>
  <c r="F63" i="30"/>
  <c r="G63" i="30"/>
  <c r="G62" i="32"/>
  <c r="F63" i="32"/>
  <c r="G63" i="32"/>
  <c r="D64" i="35" l="1"/>
  <c r="C59" i="38" s="1"/>
  <c r="C29" i="38"/>
  <c r="F62" i="33"/>
  <c r="F65" i="33" s="1"/>
  <c r="F66" i="33" s="1"/>
  <c r="L157" i="37"/>
  <c r="K157" i="37"/>
  <c r="L59" i="35"/>
  <c r="L16" i="35"/>
  <c r="X32" i="33"/>
  <c r="Y32" i="33" s="1"/>
  <c r="L34" i="35"/>
  <c r="F99" i="33"/>
  <c r="F101" i="33" s="1"/>
  <c r="G99" i="33"/>
  <c r="G101" i="33" s="1"/>
  <c r="K109" i="37"/>
  <c r="L109" i="37"/>
  <c r="B63" i="35"/>
  <c r="D63" i="35"/>
  <c r="C58" i="38" s="1"/>
  <c r="D16" i="32"/>
  <c r="D59" i="32" s="1"/>
  <c r="C63" i="35"/>
  <c r="X16" i="33"/>
  <c r="Y16" i="33" s="1"/>
  <c r="C64" i="35"/>
  <c r="B64" i="35"/>
  <c r="C64" i="34"/>
  <c r="C66" i="34"/>
  <c r="D33" i="32"/>
  <c r="D55" i="32"/>
  <c r="W48" i="32"/>
  <c r="D66" i="35" l="1"/>
  <c r="B67" i="35"/>
  <c r="B68" i="35" s="1"/>
  <c r="L63" i="35"/>
  <c r="L64" i="35"/>
  <c r="L111" i="37"/>
  <c r="K111" i="37"/>
  <c r="D60" i="32"/>
  <c r="D62" i="32" s="1"/>
  <c r="D63" i="32" s="1"/>
  <c r="C67" i="35"/>
  <c r="D68" i="35" l="1"/>
  <c r="C63" i="38" s="1"/>
  <c r="C61" i="38"/>
  <c r="C68" i="35"/>
  <c r="L67" i="35"/>
  <c r="J158" i="37"/>
  <c r="K112" i="37"/>
  <c r="L112" i="37"/>
  <c r="E62" i="35" l="1"/>
  <c r="X60" i="33"/>
  <c r="L68" i="35"/>
  <c r="K158" i="37"/>
  <c r="L158" i="3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Jeremy Sorensen</author>
  </authors>
  <commentList>
    <comment ref="D24" authorId="0" shapeId="0" xr:uid="{A18FFC1F-BFDF-44B7-8996-CC5903412F72}">
      <text>
        <r>
          <rPr>
            <b/>
            <sz val="14"/>
            <color indexed="81"/>
            <rFont val="Tahoma"/>
            <charset val="1"/>
          </rPr>
          <t>Jeremy Sorensen:</t>
        </r>
        <r>
          <rPr>
            <sz val="14"/>
            <color indexed="81"/>
            <rFont val="Tahoma"/>
            <charset val="1"/>
          </rPr>
          <t xml:space="preserve">
Estimated from Crews Worksheet</t>
        </r>
      </text>
    </comment>
    <comment ref="D40" authorId="0" shapeId="0" xr:uid="{B9920A51-C681-4AA3-8BE6-E50A17F30EAF}">
      <text>
        <r>
          <rPr>
            <b/>
            <sz val="14"/>
            <color indexed="81"/>
            <rFont val="Tahoma"/>
            <charset val="1"/>
          </rPr>
          <t>Jeremy Sorensen:</t>
        </r>
        <r>
          <rPr>
            <sz val="14"/>
            <color indexed="81"/>
            <rFont val="Tahoma"/>
            <charset val="1"/>
          </rPr>
          <t xml:space="preserve">
New Server and equipment for office </t>
        </r>
      </text>
    </comment>
    <comment ref="D44" authorId="0" shapeId="0" xr:uid="{D1B3D4A2-72F2-478A-8DFE-250C6F51E0BD}">
      <text>
        <r>
          <rPr>
            <b/>
            <sz val="14"/>
            <color indexed="81"/>
            <rFont val="Tahoma"/>
            <charset val="1"/>
          </rPr>
          <t>Jeremy Sorensen:</t>
        </r>
        <r>
          <rPr>
            <sz val="14"/>
            <color indexed="81"/>
            <rFont val="Tahoma"/>
            <charset val="1"/>
          </rPr>
          <t xml:space="preserve">
Assume 9 months we will still need Chlorine</t>
        </r>
      </text>
    </comment>
    <comment ref="D49" authorId="0" shapeId="0" xr:uid="{F1B0B80D-E3B4-4E92-84A5-664598DC44D7}">
      <text>
        <r>
          <rPr>
            <b/>
            <sz val="14"/>
            <color indexed="81"/>
            <rFont val="Tahoma"/>
            <charset val="1"/>
          </rPr>
          <t>Jeremy Sorensen:</t>
        </r>
        <r>
          <rPr>
            <sz val="14"/>
            <color indexed="81"/>
            <rFont val="Tahoma"/>
            <charset val="1"/>
          </rPr>
          <t xml:space="preserve">
Power Increase with new plant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Jeremy Sorensen</author>
  </authors>
  <commentList>
    <comment ref="H20" authorId="0" shapeId="0" xr:uid="{53428ED4-7D4F-4B48-BE7B-B0D49BA6FABF}">
      <text>
        <r>
          <rPr>
            <b/>
            <sz val="14"/>
            <color indexed="81"/>
            <rFont val="Tahoma"/>
            <charset val="1"/>
          </rPr>
          <t>Jeremy Sorensen:</t>
        </r>
        <r>
          <rPr>
            <sz val="14"/>
            <color indexed="81"/>
            <rFont val="Tahoma"/>
            <charset val="1"/>
          </rPr>
          <t xml:space="preserve">
Moved to General Budget
</t>
        </r>
      </text>
    </comment>
    <comment ref="H23" authorId="0" shapeId="0" xr:uid="{33CC30E4-2D20-4CDC-AEAC-436589791BB9}">
      <text>
        <r>
          <rPr>
            <b/>
            <sz val="14"/>
            <color indexed="81"/>
            <rFont val="Tahoma"/>
            <charset val="1"/>
          </rPr>
          <t>Jeremy Sorensen:</t>
        </r>
        <r>
          <rPr>
            <sz val="14"/>
            <color indexed="81"/>
            <rFont val="Tahoma"/>
            <charset val="1"/>
          </rPr>
          <t xml:space="preserve">
Estimate for finaliziation of Plant Documents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MGSID</author>
    <author>Lothar</author>
    <author>Toshiba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AUDITED THE TOTAL FIRST OF 2022 - SLIGHT AGJUSTEMENT - SHOULD BE MORE ACCURATE IN 2022</t>
        </r>
      </text>
    </comment>
    <comment ref="D1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WPR CURRENT $180k</t>
        </r>
      </text>
    </comment>
    <comment ref="F1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WPR CFP update with SB</t>
        </r>
      </text>
    </comment>
    <comment ref="F18" authorId="1" shapeId="0" xr:uid="{00000000-0006-0000-0200-000004000000}">
      <text>
        <r>
          <rPr>
            <b/>
            <sz val="9"/>
            <color indexed="81"/>
            <rFont val="Tahoma"/>
            <family val="2"/>
          </rPr>
          <t>Lothar:</t>
        </r>
        <r>
          <rPr>
            <sz val="9"/>
            <color indexed="81"/>
            <rFont val="Tahoma"/>
            <family val="2"/>
          </rPr>
          <t xml:space="preserve">
Shouldn't this be 2022?</t>
        </r>
      </text>
    </comment>
    <comment ref="B21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was wrong cell before - postage is office
</t>
        </r>
      </text>
    </comment>
    <comment ref="F26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WLA STATE FOR PLANT</t>
        </r>
      </text>
    </comment>
    <comment ref="D28" authorId="2" shapeId="0" xr:uid="{00000000-0006-0000-0200-000007000000}">
      <text>
        <r>
          <rPr>
            <b/>
            <sz val="9"/>
            <color indexed="81"/>
            <rFont val="Tahoma"/>
            <family val="2"/>
          </rPr>
          <t>Personell looking at it</t>
        </r>
      </text>
    </comment>
    <comment ref="F29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WPR and SB CFP update
</t>
        </r>
      </text>
    </comment>
    <comment ref="D31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what to do 2021?
5 employs - 5 board </t>
        </r>
      </text>
    </comment>
    <comment ref="F37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SIDE-BY SIDE REDUCE IMPACT</t>
        </r>
      </text>
    </comment>
    <comment ref="D38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SHOP DOOR MAIN, BOILER, …
</t>
        </r>
      </text>
    </comment>
    <comment ref="B39" authorId="2" shapeId="0" xr:uid="{00000000-0006-0000-0200-00000C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heat system?</t>
        </r>
      </text>
    </comment>
    <comment ref="F39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~ 1 COMPUTURE, OTHER MISC
</t>
        </r>
      </text>
    </comment>
    <comment ref="B42" authorId="2" shapeId="0" xr:uid="{00000000-0006-0000-0200-00000E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add probiotic
</t>
        </r>
      </text>
    </comment>
    <comment ref="D42" authorId="0" shapeId="0" xr:uid="{00000000-0006-0000-0200-00000F000000}">
      <text>
        <r>
          <rPr>
            <sz val="9"/>
            <color indexed="81"/>
            <rFont val="Tahoma"/>
            <family val="2"/>
          </rPr>
          <t xml:space="preserve">MINIMIZE - DUE TO NEW PLANT
OTHER INCOME - HWC CL2
</t>
        </r>
      </text>
    </comment>
    <comment ref="F42" authorId="0" shapeId="0" xr:uid="{00000000-0006-0000-0200-000010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BNR more!!</t>
        </r>
      </text>
    </comment>
    <comment ref="F43" authorId="0" shapeId="0" xr:uid="{00000000-0006-0000-0200-000011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INTIGRATION CV - PRE SYSTEM START, SCADA CONSULTANT</t>
        </r>
      </text>
    </comment>
    <comment ref="B44" authorId="0" shapeId="0" xr:uid="{00000000-0006-0000-0200-000012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refill - service - move over old
</t>
        </r>
      </text>
    </comment>
    <comment ref="D44" authorId="0" shapeId="0" xr:uid="{00000000-0006-0000-0200-000013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relocate old gen
refuel - maintance annual
REDITRIBUTE
</t>
        </r>
      </text>
    </comment>
    <comment ref="D45" authorId="0" shapeId="0" xr:uid="{00000000-0006-0000-0200-000014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BI MONTHLY</t>
        </r>
      </text>
    </comment>
    <comment ref="B46" authorId="0" shapeId="0" xr:uid="{00000000-0006-0000-0200-000015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blower, PUMP CURRENT</t>
        </r>
      </text>
    </comment>
    <comment ref="D46" authorId="0" shapeId="0" xr:uid="{00000000-0006-0000-0200-000016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CL2 pump, back-up pump</t>
        </r>
      </text>
    </comment>
    <comment ref="D47" authorId="2" shapeId="0" xr:uid="{00000000-0006-0000-0200-000017000000}">
      <text>
        <r>
          <rPr>
            <b/>
            <sz val="9"/>
            <color indexed="81"/>
            <rFont val="Tahoma"/>
            <family val="2"/>
          </rPr>
          <t>reduced power use</t>
        </r>
      </text>
    </comment>
    <comment ref="F49" authorId="0" shapeId="0" xr:uid="{00000000-0006-0000-0200-000018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manholes repair list</t>
        </r>
      </text>
    </comment>
    <comment ref="D51" authorId="0" shapeId="0" xr:uid="{00000000-0006-0000-0200-000019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CFP list - pump?</t>
        </r>
      </text>
    </comment>
    <comment ref="F51" authorId="0" shapeId="0" xr:uid="{00000000-0006-0000-0200-00001A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START UP IF NEEDED
</t>
        </r>
      </text>
    </comment>
    <comment ref="D52" authorId="0" shapeId="0" xr:uid="{00000000-0006-0000-0200-00001B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? Old Gen controls</t>
        </r>
      </text>
    </comment>
    <comment ref="D53" authorId="0" shapeId="0" xr:uid="{00000000-0006-0000-0200-00001C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degreaser
cl2 meeter, ph, etc</t>
        </r>
      </text>
    </comment>
    <comment ref="B54" authorId="0" shapeId="0" xr:uid="{00000000-0006-0000-0200-00001D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? Chemicals</t>
        </r>
      </text>
    </comment>
    <comment ref="D62" authorId="2" shapeId="0" xr:uid="{00000000-0006-0000-0200-00001E000000}">
      <text>
        <r>
          <rPr>
            <b/>
            <sz val="9"/>
            <color indexed="81"/>
            <rFont val="Tahoma"/>
            <family val="2"/>
          </rPr>
          <t>WILL RESTORE SUNRISE / WPR REIMBURSEMENTS</t>
        </r>
      </text>
    </comment>
    <comment ref="F62" authorId="2" shapeId="0" xr:uid="{00000000-0006-0000-0200-00001F000000}">
      <text>
        <r>
          <rPr>
            <b/>
            <sz val="9"/>
            <color indexed="81"/>
            <rFont val="Tahoma"/>
            <family val="2"/>
          </rPr>
          <t>WILL RESTORE SUNRISE / WPR REIMBURSEMENTS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Jeremy Sorensen</author>
    <author>MGSID</author>
    <author>Toshiba</author>
    <author>D.J. BALDWIN</author>
  </authors>
  <commentList>
    <comment ref="X8" authorId="0" shapeId="0" xr:uid="{D1433051-F71F-47E6-B8DF-ACC8F8DC47C2}">
      <text>
        <r>
          <rPr>
            <b/>
            <sz val="14"/>
            <color indexed="81"/>
            <rFont val="Tahoma"/>
            <family val="2"/>
          </rPr>
          <t>Jeremy Sorensen:</t>
        </r>
        <r>
          <rPr>
            <sz val="14"/>
            <color indexed="81"/>
            <rFont val="Tahoma"/>
            <family val="2"/>
          </rPr>
          <t xml:space="preserve">
Amount from 2025 General
</t>
        </r>
      </text>
    </comment>
    <comment ref="D14" authorId="1" shapeId="0" xr:uid="{00000000-0006-0000-0400-000001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WPR CURRENT $180k</t>
        </r>
      </text>
    </comment>
    <comment ref="B20" authorId="1" shapeId="0" xr:uid="{00000000-0006-0000-0400-000003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was wrong cell before - postage is office
</t>
        </r>
      </text>
    </comment>
    <comment ref="D27" authorId="2" shapeId="0" xr:uid="{00000000-0006-0000-0400-000004000000}">
      <text>
        <r>
          <rPr>
            <b/>
            <sz val="9"/>
            <color indexed="81"/>
            <rFont val="Tahoma"/>
            <family val="2"/>
          </rPr>
          <t>Personell looking at it</t>
        </r>
      </text>
    </comment>
    <comment ref="D28" authorId="1" shapeId="0" xr:uid="{00000000-0006-0000-0400-000005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what to do 2021?
5 employs - 5 board </t>
        </r>
      </text>
    </comment>
    <comment ref="D35" authorId="1" shapeId="0" xr:uid="{00000000-0006-0000-0400-000006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SHOP DOOR MAIN, BOILER, …
</t>
        </r>
      </text>
    </comment>
    <comment ref="B36" authorId="2" shapeId="0" xr:uid="{00000000-0006-0000-0400-000007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heat system?</t>
        </r>
      </text>
    </comment>
    <comment ref="B39" authorId="2" shapeId="0" xr:uid="{00000000-0006-0000-0400-000008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add probiotic
</t>
        </r>
      </text>
    </comment>
    <comment ref="D39" authorId="1" shapeId="0" xr:uid="{00000000-0006-0000-0400-000009000000}">
      <text>
        <r>
          <rPr>
            <sz val="9"/>
            <color indexed="81"/>
            <rFont val="Tahoma"/>
            <family val="2"/>
          </rPr>
          <t xml:space="preserve">MINIMIZE - DUE TO NEW PLANT
OTHER INCOME - HWC CL2
</t>
        </r>
      </text>
    </comment>
    <comment ref="B41" authorId="1" shapeId="0" xr:uid="{00000000-0006-0000-0400-00000A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refill - service - move over old
</t>
        </r>
      </text>
    </comment>
    <comment ref="D41" authorId="1" shapeId="0" xr:uid="{00000000-0006-0000-0400-00000B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relocate old gen
refuel - maintance annual
REDITRIBUTE
</t>
        </r>
      </text>
    </comment>
    <comment ref="D42" authorId="1" shapeId="0" xr:uid="{00000000-0006-0000-0400-00000C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BI MONTHLY</t>
        </r>
      </text>
    </comment>
    <comment ref="B43" authorId="1" shapeId="0" xr:uid="{00000000-0006-0000-0400-00000D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blower, PUMP CURRENT</t>
        </r>
      </text>
    </comment>
    <comment ref="D43" authorId="1" shapeId="0" xr:uid="{00000000-0006-0000-0400-00000E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CL2 pump, back-up pump</t>
        </r>
      </text>
    </comment>
    <comment ref="D44" authorId="2" shapeId="0" xr:uid="{00000000-0006-0000-0400-00000F000000}">
      <text>
        <r>
          <rPr>
            <b/>
            <sz val="9"/>
            <color indexed="81"/>
            <rFont val="Tahoma"/>
            <family val="2"/>
          </rPr>
          <t>reduced power use</t>
        </r>
      </text>
    </comment>
    <comment ref="D48" authorId="1" shapeId="0" xr:uid="{00000000-0006-0000-0400-000010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CFP list - pump?</t>
        </r>
      </text>
    </comment>
    <comment ref="D49" authorId="1" shapeId="0" xr:uid="{00000000-0006-0000-0400-000011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? Old Gen controls</t>
        </r>
      </text>
    </comment>
    <comment ref="D50" authorId="1" shapeId="0" xr:uid="{00000000-0006-0000-0400-000012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degreaser
cl2 meeter, ph, etc</t>
        </r>
      </text>
    </comment>
    <comment ref="B51" authorId="1" shapeId="0" xr:uid="{00000000-0006-0000-0400-000013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? Chemicals</t>
        </r>
      </text>
    </comment>
    <comment ref="D59" authorId="2" shapeId="0" xr:uid="{00000000-0006-0000-0400-000014000000}">
      <text>
        <r>
          <rPr>
            <b/>
            <sz val="9"/>
            <color indexed="81"/>
            <rFont val="Tahoma"/>
            <family val="2"/>
          </rPr>
          <t>WILL RESTORE SUNRISE / WPR REIMBURSEMENTS</t>
        </r>
      </text>
    </comment>
    <comment ref="B70" authorId="1" shapeId="0" xr:uid="{00000000-0006-0000-0400-000015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got some product CTWD 5 but not much other</t>
        </r>
      </text>
    </comment>
    <comment ref="C70" authorId="3" shapeId="0" xr:uid="{00000000-0006-0000-0400-000016000000}">
      <text>
        <r>
          <rPr>
            <b/>
            <sz val="8"/>
            <color indexed="81"/>
            <rFont val="Tahoma"/>
            <family val="2"/>
          </rPr>
          <t>ONLY COTTONWOOD V 28 lots - 
owning advance fund and prepay
- MAYBE 60K</t>
        </r>
      </text>
    </comment>
    <comment ref="D70" authorId="3" shapeId="0" xr:uid="{00000000-0006-0000-0400-000017000000}">
      <text>
        <r>
          <rPr>
            <b/>
            <sz val="8"/>
            <color indexed="81"/>
            <rFont val="Tahoma"/>
            <family val="2"/>
          </rPr>
          <t>Based on RR6-10, Whisper Ridge Phase II-50, Misc-10 = 70 @ $5,271 = $368,970; 30 @ $3,456 = $103,680;  Total of $472,650</t>
        </r>
      </text>
    </comment>
    <comment ref="C80" authorId="1" shapeId="0" xr:uid="{00000000-0006-0000-0400-000018000000}">
      <text>
        <r>
          <rPr>
            <b/>
            <sz val="9"/>
            <color indexed="81"/>
            <rFont val="Tahoma"/>
            <family val="2"/>
          </rPr>
          <t>Based on reimbursing 30 @ $3,456 = $103,680</t>
        </r>
      </text>
    </comment>
    <comment ref="D80" authorId="1" shapeId="0" xr:uid="{00000000-0006-0000-0400-000019000000}">
      <text>
        <r>
          <rPr>
            <b/>
            <sz val="9"/>
            <color indexed="81"/>
            <rFont val="Tahoma"/>
            <family val="2"/>
          </rPr>
          <t>Based on reimbursing 10 @ $3,456 = $34,560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MGSID</author>
    <author>Lothar</author>
    <author>Toshiba</author>
  </authors>
  <commentList>
    <comment ref="F8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AUDITED THE TOTAL FIRST OF 2022 - SLIGHT AGJUSTEMENT - SHOULD BE MORE ACCURATE IN 2022</t>
        </r>
      </text>
    </comment>
    <comment ref="D14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WPR CURRENT $180k</t>
        </r>
      </text>
    </comment>
    <comment ref="F14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WPR CFP update with SB</t>
        </r>
      </text>
    </comment>
    <comment ref="F18" authorId="1" shapeId="0" xr:uid="{00000000-0006-0000-0500-000004000000}">
      <text>
        <r>
          <rPr>
            <b/>
            <sz val="9"/>
            <color indexed="81"/>
            <rFont val="Tahoma"/>
            <family val="2"/>
          </rPr>
          <t>Lothar:</t>
        </r>
        <r>
          <rPr>
            <sz val="9"/>
            <color indexed="81"/>
            <rFont val="Tahoma"/>
            <family val="2"/>
          </rPr>
          <t xml:space="preserve">
Shouldn't this be 2022?</t>
        </r>
      </text>
    </comment>
    <comment ref="B21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was wrong cell before - postage is office
</t>
        </r>
      </text>
    </comment>
    <comment ref="F26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WLA STATE FOR PLANT</t>
        </r>
      </text>
    </comment>
    <comment ref="D28" authorId="2" shapeId="0" xr:uid="{00000000-0006-0000-0500-000007000000}">
      <text>
        <r>
          <rPr>
            <b/>
            <sz val="9"/>
            <color indexed="81"/>
            <rFont val="Tahoma"/>
            <family val="2"/>
          </rPr>
          <t>Personell looking at it</t>
        </r>
      </text>
    </comment>
    <comment ref="F29" authorId="0" shapeId="0" xr:uid="{00000000-0006-0000-0500-000008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WPR and SB CFP update
</t>
        </r>
      </text>
    </comment>
    <comment ref="D31" authorId="0" shapeId="0" xr:uid="{00000000-0006-0000-0500-000009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what to do 2021?
5 employs - 5 board </t>
        </r>
      </text>
    </comment>
    <comment ref="F37" authorId="0" shapeId="0" xr:uid="{00000000-0006-0000-0500-00000A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SIDE-BY SIDE REDUCE IMPACT</t>
        </r>
      </text>
    </comment>
    <comment ref="D38" authorId="0" shapeId="0" xr:uid="{00000000-0006-0000-0500-00000B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SHOP DOOR MAIN, BOILER, …
</t>
        </r>
      </text>
    </comment>
    <comment ref="B39" authorId="2" shapeId="0" xr:uid="{00000000-0006-0000-0500-00000C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heat system?</t>
        </r>
      </text>
    </comment>
    <comment ref="F39" authorId="0" shapeId="0" xr:uid="{00000000-0006-0000-0500-00000D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~ 1 COMPUTURE, OTHER MISC
</t>
        </r>
      </text>
    </comment>
    <comment ref="B42" authorId="2" shapeId="0" xr:uid="{00000000-0006-0000-0500-00000E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add probiotic
</t>
        </r>
      </text>
    </comment>
    <comment ref="D42" authorId="0" shapeId="0" xr:uid="{00000000-0006-0000-0500-00000F000000}">
      <text>
        <r>
          <rPr>
            <sz val="9"/>
            <color indexed="81"/>
            <rFont val="Tahoma"/>
            <family val="2"/>
          </rPr>
          <t xml:space="preserve">MINIMIZE - DUE TO NEW PLANT
OTHER INCOME - HWC CL2
</t>
        </r>
      </text>
    </comment>
    <comment ref="F42" authorId="0" shapeId="0" xr:uid="{00000000-0006-0000-0500-000010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BNR more!!</t>
        </r>
      </text>
    </comment>
    <comment ref="F43" authorId="0" shapeId="0" xr:uid="{00000000-0006-0000-0500-000011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INTIGRATION CV - PRE SYSTEM START, SCADA CONSULTANT</t>
        </r>
      </text>
    </comment>
    <comment ref="B44" authorId="0" shapeId="0" xr:uid="{00000000-0006-0000-0500-000012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refill - service - move over old
</t>
        </r>
      </text>
    </comment>
    <comment ref="D44" authorId="0" shapeId="0" xr:uid="{00000000-0006-0000-0500-000013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relocate old gen
refuel - maintance annual
REDITRIBUTE
</t>
        </r>
      </text>
    </comment>
    <comment ref="D45" authorId="0" shapeId="0" xr:uid="{00000000-0006-0000-0500-000014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BI MONTHLY</t>
        </r>
      </text>
    </comment>
    <comment ref="B46" authorId="0" shapeId="0" xr:uid="{00000000-0006-0000-0500-000015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blower, PUMP CURRENT</t>
        </r>
      </text>
    </comment>
    <comment ref="D46" authorId="0" shapeId="0" xr:uid="{00000000-0006-0000-0500-000016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CL2 pump, back-up pump</t>
        </r>
      </text>
    </comment>
    <comment ref="D47" authorId="2" shapeId="0" xr:uid="{00000000-0006-0000-0500-000017000000}">
      <text>
        <r>
          <rPr>
            <b/>
            <sz val="9"/>
            <color indexed="81"/>
            <rFont val="Tahoma"/>
            <family val="2"/>
          </rPr>
          <t>reduced power use</t>
        </r>
      </text>
    </comment>
    <comment ref="F49" authorId="0" shapeId="0" xr:uid="{00000000-0006-0000-0500-000018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manholes repair list</t>
        </r>
      </text>
    </comment>
    <comment ref="D51" authorId="0" shapeId="0" xr:uid="{00000000-0006-0000-0500-000019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CFP list - pump?</t>
        </r>
      </text>
    </comment>
    <comment ref="F51" authorId="0" shapeId="0" xr:uid="{00000000-0006-0000-0500-00001A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START UP IF NEEDED
</t>
        </r>
      </text>
    </comment>
    <comment ref="D52" authorId="0" shapeId="0" xr:uid="{00000000-0006-0000-0500-00001B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? Old Gen controls</t>
        </r>
      </text>
    </comment>
    <comment ref="D53" authorId="0" shapeId="0" xr:uid="{00000000-0006-0000-0500-00001C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degreaser
cl2 meeter, ph, etc</t>
        </r>
      </text>
    </comment>
    <comment ref="B54" authorId="0" shapeId="0" xr:uid="{00000000-0006-0000-0500-00001D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? Chemicals</t>
        </r>
      </text>
    </comment>
    <comment ref="D62" authorId="2" shapeId="0" xr:uid="{00000000-0006-0000-0500-00001E000000}">
      <text>
        <r>
          <rPr>
            <b/>
            <sz val="9"/>
            <color indexed="81"/>
            <rFont val="Tahoma"/>
            <family val="2"/>
          </rPr>
          <t>WILL RESTORE SUNRISE / WPR REIMBURSEMENTS</t>
        </r>
      </text>
    </comment>
    <comment ref="F62" authorId="2" shapeId="0" xr:uid="{00000000-0006-0000-0500-00001F000000}">
      <text>
        <r>
          <rPr>
            <b/>
            <sz val="9"/>
            <color indexed="81"/>
            <rFont val="Tahoma"/>
            <family val="2"/>
          </rPr>
          <t>WILL RESTORE SUNRISE / WPR REIMBURSEMENTS</t>
        </r>
      </text>
    </comment>
    <comment ref="B134" authorId="0" shapeId="0" xr:uid="{00000000-0006-0000-0500-000020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got some product CTWD 5 but not much other</t>
        </r>
      </text>
    </comment>
    <comment ref="F135" authorId="0" shapeId="0" xr:uid="{00000000-0006-0000-0500-000021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NOTHING TO TRANSFER FROM SAVINGS</t>
        </r>
      </text>
    </comment>
    <comment ref="F140" authorId="0" shapeId="0" xr:uid="{00000000-0006-0000-0500-000022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? Final design - REST 2023</t>
        </r>
      </text>
    </comment>
    <comment ref="F143" authorId="0" shapeId="0" xr:uid="{00000000-0006-0000-0500-000023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5 BASED ON OLDER LOTS</t>
        </r>
      </text>
    </comment>
    <comment ref="F145" authorId="0" shapeId="0" xr:uid="{00000000-0006-0000-0500-000024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show negative on Impact Fees based on expenses - befencable for impact fees to show funds used</t>
        </r>
      </text>
    </comment>
    <comment ref="A146" authorId="1" shapeId="0" xr:uid="{00000000-0006-0000-0500-000025000000}">
      <text>
        <r>
          <rPr>
            <b/>
            <sz val="9"/>
            <color indexed="81"/>
            <rFont val="Tahoma"/>
            <family val="2"/>
          </rPr>
          <t>Lothar:</t>
        </r>
        <r>
          <rPr>
            <sz val="9"/>
            <color indexed="81"/>
            <rFont val="Tahoma"/>
            <family val="2"/>
          </rPr>
          <t xml:space="preserve">
Spell check:  eligible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MGSID</author>
    <author>Lothar</author>
    <author>Toshiba</author>
    <author>D.J. BALDWIN</author>
  </authors>
  <commentList>
    <comment ref="C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3 month left 642K
2 month left 592K
carries some over
use budget</t>
        </r>
      </text>
    </comment>
    <comment ref="E8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AUDITED THE TOTAL FIRST OF 2022 - SLIGHT AGJUSTEMENT - SHOULD BE MORE ACCURATE IN 2022</t>
        </r>
      </text>
    </comment>
    <comment ref="E14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WPR CFP update with SB</t>
        </r>
      </text>
    </comment>
    <comment ref="E18" authorId="1" shapeId="0" xr:uid="{00000000-0006-0000-0600-000004000000}">
      <text>
        <r>
          <rPr>
            <b/>
            <sz val="9"/>
            <color indexed="81"/>
            <rFont val="Tahoma"/>
            <family val="2"/>
          </rPr>
          <t>Lothar:</t>
        </r>
        <r>
          <rPr>
            <sz val="9"/>
            <color indexed="81"/>
            <rFont val="Tahoma"/>
            <family val="2"/>
          </rPr>
          <t xml:space="preserve">
Shouldn't this be 2022?</t>
        </r>
      </text>
    </comment>
    <comment ref="B21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was wrong cell before - postage is office
</t>
        </r>
      </text>
    </comment>
    <comment ref="C28" authorId="2" shapeId="0" xr:uid="{00000000-0006-0000-0600-000006000000}">
      <text>
        <r>
          <rPr>
            <b/>
            <sz val="9"/>
            <color indexed="81"/>
            <rFont val="Tahoma"/>
            <family val="2"/>
          </rPr>
          <t>Oct not in - ? Pay-out PTO:</t>
        </r>
        <r>
          <rPr>
            <sz val="9"/>
            <color indexed="81"/>
            <rFont val="Tahoma"/>
            <family val="2"/>
          </rPr>
          <t xml:space="preserve">
down persons - ed reclassify/heather
2019 - over budget, Utah State more expensive/URS/PEHP, summer hire $14, Janet no retirment as promissed, </t>
        </r>
      </text>
    </comment>
    <comment ref="E29" authorId="0" shapeId="0" xr:uid="{00000000-0006-0000-0600-000007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WPR and SB CFP update
</t>
        </r>
      </text>
    </comment>
    <comment ref="C31" authorId="0" shapeId="0" xr:uid="{00000000-0006-0000-0600-000008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what to do 2020?
5 employs - 5 board </t>
        </r>
      </text>
    </comment>
    <comment ref="E37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SIDE-BY SIDE REDUCE IMPACT</t>
        </r>
      </text>
    </comment>
    <comment ref="C38" authorId="0" shapeId="0" xr:uid="{00000000-0006-0000-0600-00000A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SHOP DOOR MAIN, BOILER, …
</t>
        </r>
      </text>
    </comment>
    <comment ref="B39" authorId="2" shapeId="0" xr:uid="{00000000-0006-0000-0600-00000B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heat system?</t>
        </r>
      </text>
    </comment>
    <comment ref="B42" authorId="2" shapeId="0" xr:uid="{00000000-0006-0000-0600-00000C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add probiotic
</t>
        </r>
      </text>
    </comment>
    <comment ref="C42" authorId="0" shapeId="0" xr:uid="{00000000-0006-0000-0600-00000D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sm CL2 PUMP ETC, re catagorize blower repair here +$6500
PUMP HERE $8000</t>
        </r>
      </text>
    </comment>
    <comment ref="E42" authorId="0" shapeId="0" xr:uid="{00000000-0006-0000-0600-00000E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BNR more!!</t>
        </r>
      </text>
    </comment>
    <comment ref="C43" authorId="0" shapeId="0" xr:uid="{00000000-0006-0000-0600-00000F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PUMP HERE PART</t>
        </r>
      </text>
    </comment>
    <comment ref="E43" authorId="0" shapeId="0" xr:uid="{00000000-0006-0000-0600-000010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INTIGRATION CV - PRE SYSTEM START, SCADA CONSULTANT</t>
        </r>
      </text>
    </comment>
    <comment ref="B44" authorId="0" shapeId="0" xr:uid="{00000000-0006-0000-0600-000011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refill - service - move over old
</t>
        </r>
      </text>
    </comment>
    <comment ref="C44" authorId="0" shapeId="0" xr:uid="{00000000-0006-0000-0600-000012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relocate old gen
refuel - maintance annual
</t>
        </r>
      </text>
    </comment>
    <comment ref="C45" authorId="0" shapeId="0" xr:uid="{00000000-0006-0000-0600-000013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BI MONTHLY</t>
        </r>
      </text>
    </comment>
    <comment ref="B46" authorId="0" shapeId="0" xr:uid="{00000000-0006-0000-0600-000014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blower, PUMP CURRENT</t>
        </r>
      </text>
    </comment>
    <comment ref="C46" authorId="0" shapeId="0" xr:uid="{00000000-0006-0000-0600-000015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CL2 pump, back-up pump</t>
        </r>
      </text>
    </comment>
    <comment ref="C47" authorId="2" shapeId="0" xr:uid="{00000000-0006-0000-0600-000016000000}">
      <text>
        <r>
          <rPr>
            <b/>
            <sz val="9"/>
            <color indexed="81"/>
            <rFont val="Tahoma"/>
            <family val="2"/>
          </rPr>
          <t>reduced power use</t>
        </r>
      </text>
    </comment>
    <comment ref="E49" authorId="0" shapeId="0" xr:uid="{00000000-0006-0000-0600-000017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manholes repair list</t>
        </r>
      </text>
    </comment>
    <comment ref="C51" authorId="0" shapeId="0" xr:uid="{00000000-0006-0000-0600-000018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CFP list - pump?</t>
        </r>
      </text>
    </comment>
    <comment ref="E51" authorId="0" shapeId="0" xr:uid="{00000000-0006-0000-0600-000019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START UP IF NEEDED
</t>
        </r>
      </text>
    </comment>
    <comment ref="C52" authorId="0" shapeId="0" xr:uid="{00000000-0006-0000-0600-00001A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? Old Gen controls</t>
        </r>
      </text>
    </comment>
    <comment ref="C53" authorId="0" shapeId="0" xr:uid="{00000000-0006-0000-0600-00001B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degreaser
cl2 meeter, ph, etc</t>
        </r>
      </text>
    </comment>
    <comment ref="B54" authorId="0" shapeId="0" xr:uid="{00000000-0006-0000-0600-00001C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? Chemicals</t>
        </r>
      </text>
    </comment>
    <comment ref="E62" authorId="2" shapeId="0" xr:uid="{00000000-0006-0000-0600-00001D000000}">
      <text>
        <r>
          <rPr>
            <b/>
            <sz val="9"/>
            <color indexed="81"/>
            <rFont val="Tahoma"/>
            <family val="2"/>
          </rPr>
          <t>WILL RESTORE SUNRISE / WPR REIMBURSEMENTS</t>
        </r>
      </text>
    </comment>
    <comment ref="C64" authorId="2" shapeId="0" xr:uid="{00000000-0006-0000-0600-00001E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TRANSER ANY SAVINGS HERE</t>
        </r>
      </text>
    </comment>
    <comment ref="E64" authorId="0" shapeId="0" xr:uid="{00000000-0006-0000-0600-00001F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BALANCING CELL</t>
        </r>
      </text>
    </comment>
    <comment ref="C66" authorId="2" shapeId="0" xr:uid="{00000000-0006-0000-0600-000020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Final budget - ? Equipment/move to emergency</t>
        </r>
      </text>
    </comment>
    <comment ref="B71" authorId="0" shapeId="0" xr:uid="{00000000-0006-0000-0600-000021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got some product CTWD 5 but not much other</t>
        </r>
      </text>
    </comment>
    <comment ref="C71" authorId="3" shapeId="0" xr:uid="{00000000-0006-0000-0600-000022000000}">
      <text>
        <r>
          <rPr>
            <b/>
            <sz val="8"/>
            <color indexed="81"/>
            <rFont val="Tahoma"/>
            <family val="2"/>
          </rPr>
          <t>ONLY COTTONWOOD V 28 lots - 
owning advance fund and prepay
- MAYBE 60K</t>
        </r>
      </text>
    </comment>
    <comment ref="D71" authorId="3" shapeId="0" xr:uid="{00000000-0006-0000-0600-000023000000}">
      <text>
        <r>
          <rPr>
            <b/>
            <sz val="8"/>
            <color indexed="81"/>
            <rFont val="Tahoma"/>
            <family val="2"/>
          </rPr>
          <t>Based on RR6-10, Whisper Ridge Phase II-50, Misc-10 = 70 @ $5,271 = $368,970; 30 @ $3,456 = $103,680;  Total of $472,650</t>
        </r>
      </text>
    </comment>
    <comment ref="E71" authorId="0" shapeId="0" xr:uid="{00000000-0006-0000-0600-000024000000}">
      <text>
        <r>
          <rPr>
            <sz val="9"/>
            <color indexed="81"/>
            <rFont val="Tahoma"/>
            <family val="2"/>
          </rPr>
          <t xml:space="preserve">IF WE DON'T GET 50 PERMITS IN 2021 - HOLD OFF PLANT
cottonwood- 5 - 20
cottonwood- 7 - 28
cottonwood/rr- prepay 5 (advance fund)
NSC - 5 (advance fund)
Commercial - 
duan Johnson 55??
</t>
        </r>
      </text>
    </comment>
    <comment ref="E76" authorId="0" shapeId="0" xr:uid="{00000000-0006-0000-0600-000025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? Final design - REST 2022</t>
        </r>
      </text>
    </comment>
    <comment ref="E77" authorId="0" shapeId="0" xr:uid="{00000000-0006-0000-0600-000026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equipment RFP</t>
        </r>
      </text>
    </comment>
    <comment ref="C78" authorId="0" shapeId="0" xr:uid="{00000000-0006-0000-0600-000027000000}">
      <text>
        <r>
          <rPr>
            <b/>
            <sz val="9"/>
            <color indexed="81"/>
            <rFont val="Tahoma"/>
            <family val="2"/>
          </rPr>
          <t>Based on reimbursing 30 @ $3,456 = $103,680</t>
        </r>
      </text>
    </comment>
    <comment ref="D78" authorId="0" shapeId="0" xr:uid="{00000000-0006-0000-0600-000028000000}">
      <text>
        <r>
          <rPr>
            <b/>
            <sz val="9"/>
            <color indexed="81"/>
            <rFont val="Tahoma"/>
            <family val="2"/>
          </rPr>
          <t>Based on reimbursing 10 @ $3,456 = $34,560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MGSID</author>
  </authors>
  <commentList>
    <comment ref="D24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MGSID:</t>
        </r>
        <r>
          <rPr>
            <sz val="9"/>
            <color indexed="81"/>
            <rFont val="Tahoma"/>
            <family val="2"/>
          </rPr>
          <t xml:space="preserve">
No need for separate theft bond.</t>
        </r>
      </text>
    </comment>
    <comment ref="D41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MGSID: Diffuser change done</t>
        </r>
      </text>
    </comment>
  </commentList>
</comments>
</file>

<file path=xl/sharedStrings.xml><?xml version="1.0" encoding="utf-8"?>
<sst xmlns="http://schemas.openxmlformats.org/spreadsheetml/2006/main" count="1519" uniqueCount="542">
  <si>
    <t>CHANGE</t>
  </si>
  <si>
    <t>Insurance</t>
  </si>
  <si>
    <t>Office Expenses</t>
  </si>
  <si>
    <t>Professional Fees</t>
  </si>
  <si>
    <t>Training</t>
  </si>
  <si>
    <t xml:space="preserve">   Engineering</t>
  </si>
  <si>
    <t>EXPANSION EXPENSES</t>
  </si>
  <si>
    <t xml:space="preserve">   Total Expansion Income</t>
  </si>
  <si>
    <t xml:space="preserve">   Total Expansion Expenses</t>
  </si>
  <si>
    <t>PCT</t>
  </si>
  <si>
    <t xml:space="preserve">EXPANSION FUNDS </t>
  </si>
  <si>
    <t xml:space="preserve">   Impact Fee Reimbursements</t>
  </si>
  <si>
    <t>Budget</t>
  </si>
  <si>
    <t xml:space="preserve">   Advance Fee Interest</t>
  </si>
  <si>
    <t>TOTAL EXPENSES</t>
  </si>
  <si>
    <t xml:space="preserve">   County Property Tax</t>
  </si>
  <si>
    <t xml:space="preserve">   Late Fees</t>
  </si>
  <si>
    <t xml:space="preserve">   Monthly Service Fees</t>
  </si>
  <si>
    <t xml:space="preserve">   New Lateral Inspections</t>
  </si>
  <si>
    <t xml:space="preserve">   Delinquent Property Taxes</t>
  </si>
  <si>
    <t>Grounds Maintenance/Landscaping</t>
  </si>
  <si>
    <t xml:space="preserve">   Fee in Lieu of Tax</t>
  </si>
  <si>
    <t>Automobile Miles/Parking/Tolls for MGSID</t>
  </si>
  <si>
    <t>Travel, Entertainment &amp; Christmas Dinner</t>
  </si>
  <si>
    <t>Board Meeting Compensation &amp; Expense</t>
  </si>
  <si>
    <t>Licenses, Permits</t>
  </si>
  <si>
    <t>INCOME</t>
  </si>
  <si>
    <t>ADMINISTRATION</t>
  </si>
  <si>
    <t>Clean &amp; Video</t>
  </si>
  <si>
    <t>Generator Maintenance &amp; Fuel</t>
  </si>
  <si>
    <t>Total Operating Income</t>
  </si>
  <si>
    <t>Utilities: Main Office &amp; Garage</t>
  </si>
  <si>
    <t>MOUNTAIN GREEN SEWER IMPROVEMENT DISTRICT</t>
  </si>
  <si>
    <t>Building Maintenance</t>
  </si>
  <si>
    <t>Equipment &amp; Instrumentation</t>
  </si>
  <si>
    <t>Supplies</t>
  </si>
  <si>
    <t>Lab Tests</t>
  </si>
  <si>
    <t>Utilities (Power)</t>
  </si>
  <si>
    <t>Monte Verde Lift Station</t>
  </si>
  <si>
    <t>Lagoons, Air &amp; Chlorine Systems</t>
  </si>
  <si>
    <t>Supplies, Repairs &amp; Spares</t>
  </si>
  <si>
    <t>Manhole&amp; Line Repair/Maint</t>
  </si>
  <si>
    <t>Collection Lines &amp; Manholes</t>
  </si>
  <si>
    <t>Lagoons &amp; Control Building</t>
  </si>
  <si>
    <t>Main Garage/Office Building</t>
  </si>
  <si>
    <t>Vehicles-Fuel, Service, Repair</t>
  </si>
  <si>
    <t>OPERATIONS</t>
  </si>
  <si>
    <t>Total Operations Expense</t>
  </si>
  <si>
    <t>Total Administration Expense</t>
  </si>
  <si>
    <t>Advertising / Website</t>
  </si>
  <si>
    <t>Blue Stakes Utility Notification</t>
  </si>
  <si>
    <t>Control / Instrumentation / Computers</t>
  </si>
  <si>
    <t>Equipment / Controls / Instrumentation</t>
  </si>
  <si>
    <t>Supplies &amp; Other O &amp; M</t>
  </si>
  <si>
    <t>Salary, Bonus, Benefits &amp; Tax</t>
  </si>
  <si>
    <t>EXPENSE</t>
  </si>
  <si>
    <t>NET INCOME AFTER TRANSFERS</t>
  </si>
  <si>
    <t>EXPANSION INCOME</t>
  </si>
  <si>
    <t>NET EXPANSION INCOME</t>
  </si>
  <si>
    <t>NET INCOME</t>
  </si>
  <si>
    <t>Interest Income (Operations)</t>
  </si>
  <si>
    <t>Other Income</t>
  </si>
  <si>
    <t>DECEMBER PUBLIC HEARING</t>
  </si>
  <si>
    <t xml:space="preserve"> Impact Fees</t>
  </si>
  <si>
    <t>TOTAL OPERATING INCOME</t>
  </si>
  <si>
    <t>Depreciation Expense</t>
  </si>
  <si>
    <t>Transfer to Replacement Account</t>
  </si>
  <si>
    <t>Transfer to Emergency Account</t>
  </si>
  <si>
    <t>Transfer to Existing Res Facility Exp Account</t>
  </si>
  <si>
    <t>% of Budget</t>
  </si>
  <si>
    <t>Administration</t>
  </si>
  <si>
    <t>Operations</t>
  </si>
  <si>
    <t>Other Income (CC fees, etc.)</t>
  </si>
  <si>
    <t>2018</t>
  </si>
  <si>
    <t>Income</t>
  </si>
  <si>
    <t>2019 FINAL BUDGET</t>
  </si>
  <si>
    <t>2019</t>
  </si>
  <si>
    <t>Estimated Year End</t>
  </si>
  <si>
    <t>Based on 1,140 billings per month @ $44 plus 40 Inspections @ $100</t>
  </si>
  <si>
    <t>Depreciation to PTIF 4668 Replacement</t>
  </si>
  <si>
    <t>Excess to PTIF 0248 Existing Residents</t>
  </si>
  <si>
    <t>Total Expense</t>
  </si>
  <si>
    <t>2020</t>
  </si>
  <si>
    <t>Interest Income (Operations-PTIF 248,4667,4668)</t>
  </si>
  <si>
    <t>Salary, Bonus, Insurance, Benefits &amp; Tax</t>
  </si>
  <si>
    <t>General Insurance</t>
  </si>
  <si>
    <t>Professional Fees/Consulting</t>
  </si>
  <si>
    <t>Advertising/Website/News</t>
  </si>
  <si>
    <t>YEAR END EST.</t>
  </si>
  <si>
    <t>bond</t>
  </si>
  <si>
    <t>year int</t>
  </si>
  <si>
    <t>per month</t>
  </si>
  <si>
    <t>DECEMBER BOARD MEETING - PUBLIC HEARING</t>
  </si>
  <si>
    <t>2021</t>
  </si>
  <si>
    <t xml:space="preserve">   New Lateral Inspections-NEW SUBDIVISION  FEE  - STANDBY</t>
  </si>
  <si>
    <t>$ Over Budget</t>
  </si>
  <si>
    <t>Ordinary Income/Expense</t>
  </si>
  <si>
    <t>3040205 Stand by fee</t>
  </si>
  <si>
    <t>3040204 · Inspection Fee Construction App</t>
  </si>
  <si>
    <t>3040203 · Will-Serve Fee</t>
  </si>
  <si>
    <t>3040403 · MONTHLY SERVICE FEES</t>
  </si>
  <si>
    <t>3050600 · LATE FEES</t>
  </si>
  <si>
    <t>3040202 · NEW LATERAL INSPECTIONS</t>
  </si>
  <si>
    <t>3060000 · OTHER INCOME</t>
  </si>
  <si>
    <t>301010A · TAXES INCOME</t>
  </si>
  <si>
    <t>3010101 · County Property  Tax</t>
  </si>
  <si>
    <t>3010102 · Delinquent Property Taxes</t>
  </si>
  <si>
    <t>3010103 · Fee in Lieu</t>
  </si>
  <si>
    <t>301010A · TAXES INCOME - Other</t>
  </si>
  <si>
    <t>Total 301010A · TAXES INCOME</t>
  </si>
  <si>
    <t>306010A · INTEREST INCOME (Operations)</t>
  </si>
  <si>
    <t>3060101 · Interest Income Main Checking</t>
  </si>
  <si>
    <t>3060102 · Interest Income PTIF 0248 Exist</t>
  </si>
  <si>
    <t>3060103 · Interest Income PTIF 4667 Emerg</t>
  </si>
  <si>
    <t>3060104 · Interest Income PTIF 4668 Replc</t>
  </si>
  <si>
    <t>Total 306010A · INTEREST INCOME (Operations)</t>
  </si>
  <si>
    <t>Total Income</t>
  </si>
  <si>
    <t>Gross Profit</t>
  </si>
  <si>
    <t>Expense</t>
  </si>
  <si>
    <t>402010A · ADMINISTRATION</t>
  </si>
  <si>
    <t>4021000 · Reconciliation Discrepancies</t>
  </si>
  <si>
    <t>4020400 · Advertising / Website</t>
  </si>
  <si>
    <t>4010300 · Automobile Miles/Parking/Tolls</t>
  </si>
  <si>
    <t>4020102 · Blue Stakes Utility Notificatio</t>
  </si>
  <si>
    <t>4010301 · Board Meeting Comp &amp; Expense</t>
  </si>
  <si>
    <t>402030A · INSURANCE</t>
  </si>
  <si>
    <t>4020301 · Property / Equipment Insurance</t>
  </si>
  <si>
    <t>4020302 · Theft Bond</t>
  </si>
  <si>
    <t>4020303 · Liability Insurance</t>
  </si>
  <si>
    <t>4010207 · Work Comp</t>
  </si>
  <si>
    <t>Total 402030A · INSURANCE</t>
  </si>
  <si>
    <t>4020800 · Licenses and Permits</t>
  </si>
  <si>
    <t>405000A · OFFICE</t>
  </si>
  <si>
    <t>4021001 · Bank Service Charges</t>
  </si>
  <si>
    <t>4021002 · Returned Check Charge</t>
  </si>
  <si>
    <t>4020801 · Dues &amp; Subscriptions</t>
  </si>
  <si>
    <t>4050101 · Office Equip/Supplies/Software</t>
  </si>
  <si>
    <t>4020600 · Postage and Delivery</t>
  </si>
  <si>
    <t>405000A · OFFICE - Other</t>
  </si>
  <si>
    <t>Total 405000A · OFFICE</t>
  </si>
  <si>
    <t>401000A · SALARY, BONUS, BENEFITS &amp; TAX</t>
  </si>
  <si>
    <t>401000B · SALARIES, WAGES &amp; BONUSES</t>
  </si>
  <si>
    <t>4010002 · Manager Salary &amp; Bonus</t>
  </si>
  <si>
    <t>4010204 · Manager's Retirement Payments</t>
  </si>
  <si>
    <t>4010003 · Office Wage &amp; Bonus</t>
  </si>
  <si>
    <t>4010004 · Operator Wage &amp; Bonus</t>
  </si>
  <si>
    <t>Total 401000B · SALARIES, WAGES &amp; BONUSES</t>
  </si>
  <si>
    <t>401020C · BENEFITS</t>
  </si>
  <si>
    <t>4010202 · Health Insurance</t>
  </si>
  <si>
    <t>Total 401020C · BENEFITS</t>
  </si>
  <si>
    <t>401021D · PAYROLL TAXES</t>
  </si>
  <si>
    <t>4010216 · FUTA</t>
  </si>
  <si>
    <t>4010213 · Medicare - District</t>
  </si>
  <si>
    <t>4010214 · Social Security - District</t>
  </si>
  <si>
    <t>4010215 · State Unemployment</t>
  </si>
  <si>
    <t>401021D · PAYROLL TAXES - Other</t>
  </si>
  <si>
    <t>Total 401021D · PAYROLL TAXES</t>
  </si>
  <si>
    <t>Total 401000A · SALARY, BONUS, BENEFITS &amp; TAX</t>
  </si>
  <si>
    <t>402010B · PROFESSIONAL FEES</t>
  </si>
  <si>
    <t>4020106 · Accounting</t>
  </si>
  <si>
    <t>4020107 · Engineering</t>
  </si>
  <si>
    <t>4020108 · Legal Fees</t>
  </si>
  <si>
    <t>Total 402010B · PROFESSIONAL FEES</t>
  </si>
  <si>
    <t>4020900 · Training</t>
  </si>
  <si>
    <t>4020901 · Travel, Entertain &amp; Xmas Dinner</t>
  </si>
  <si>
    <t>403000A · UTILITIES-MAIN OFFICE &amp; GARAGE</t>
  </si>
  <si>
    <t>4030000 · Electric</t>
  </si>
  <si>
    <t>4030500 · Garbage</t>
  </si>
  <si>
    <t>4030200 · Gas</t>
  </si>
  <si>
    <t>4030400 · Telephone</t>
  </si>
  <si>
    <t>4030100 · Water</t>
  </si>
  <si>
    <t>Total 403000A · UTILITIES-MAIN OFFICE &amp; GARAGE</t>
  </si>
  <si>
    <t>402010A · ADMINISTRATION - Other</t>
  </si>
  <si>
    <t>Total 402010A · ADMINISTRATION</t>
  </si>
  <si>
    <t>405020A · OPERATIONS</t>
  </si>
  <si>
    <t>405020B · MAIN GARAGE/OFFICE BUILDING</t>
  </si>
  <si>
    <t>4050201 · Vehicles-Fuel, Service, Repair</t>
  </si>
  <si>
    <t>4050602 · Building Maintenance</t>
  </si>
  <si>
    <t>4050800 · Equipment &amp; Instrumentation</t>
  </si>
  <si>
    <t>4050202 · Supplies</t>
  </si>
  <si>
    <t>Total 405020B · MAIN GARAGE/OFFICE BUILDING</t>
  </si>
  <si>
    <t>405060C · LAGOONS &amp; CONTROL BUILDING</t>
  </si>
  <si>
    <t>4050604 · Lagoon, Air &amp; Chlorine Systems</t>
  </si>
  <si>
    <t>4050603 · Control/Instrumentation/Compute</t>
  </si>
  <si>
    <t>4050605 · Generator Maintenance &amp; Fuel</t>
  </si>
  <si>
    <t>4020109 · Lab Tests</t>
  </si>
  <si>
    <t>4050205 · Repairs, Supplies &amp; Spares</t>
  </si>
  <si>
    <t>4030300 · Utilities (Power)</t>
  </si>
  <si>
    <t>Total 405060C · LAGOONS &amp; CONTROL BUILDING</t>
  </si>
  <si>
    <t>405060B · COLLECTION LINES &amp; MANHOLES</t>
  </si>
  <si>
    <t>4050606 · Manholes &amp; Line Repair/Maint</t>
  </si>
  <si>
    <t>4050607 · Clean &amp; Video</t>
  </si>
  <si>
    <t>4050608 · Monte Verde Lift Station</t>
  </si>
  <si>
    <t>4050801 · Equipment, Controls, Instrument</t>
  </si>
  <si>
    <t>4050204 · Supplies &amp; Other O &amp; M</t>
  </si>
  <si>
    <t>405060B · COLLECTION LINES &amp; MANHOLES - Other</t>
  </si>
  <si>
    <t>Total 405060B · COLLECTION LINES &amp; MANHOLES</t>
  </si>
  <si>
    <t>4050601 · Grounds Maintenance/Landscape</t>
  </si>
  <si>
    <t>405020A · OPERATIONS - Other</t>
  </si>
  <si>
    <t>Total 405020A · OPERATIONS</t>
  </si>
  <si>
    <t>4120000 · DEPRECIATION EXPENSE</t>
  </si>
  <si>
    <t>8000000 · VOID/MISCELLANEOUS CHECKS</t>
  </si>
  <si>
    <t>Net Ordinary Income</t>
  </si>
  <si>
    <t>Other Income/Expense</t>
  </si>
  <si>
    <t>304020A · EXPANSION INCOME</t>
  </si>
  <si>
    <t>3040201 · Impact Fees</t>
  </si>
  <si>
    <t>3060105 · Interest Income 3456 Expansion</t>
  </si>
  <si>
    <t>3060106 · Interest Income 5271 Expansion</t>
  </si>
  <si>
    <t>3060107 · Interest Income PTIF 4598 Expan</t>
  </si>
  <si>
    <t>Total 304020A · EXPANSION INCOME</t>
  </si>
  <si>
    <t>Total Other Income</t>
  </si>
  <si>
    <t>Other Expense</t>
  </si>
  <si>
    <t>408000B · EXPANSION - SEWER</t>
  </si>
  <si>
    <t>4080400 · Construction</t>
  </si>
  <si>
    <t>4020103 · Engineering Fees</t>
  </si>
  <si>
    <t>4020802 · Licenses &amp; Permits</t>
  </si>
  <si>
    <t>Total 408000B · EXPANSION - SEWER</t>
  </si>
  <si>
    <t>Total Other Expense</t>
  </si>
  <si>
    <t>Net Other Income</t>
  </si>
  <si>
    <t>Plant RFP</t>
  </si>
  <si>
    <t>headworks above</t>
  </si>
  <si>
    <t>payment/year</t>
  </si>
  <si>
    <t>50 permits/year</t>
  </si>
  <si>
    <r>
      <t>Vehicles</t>
    </r>
    <r>
      <rPr>
        <sz val="10"/>
        <rFont val="Arial"/>
        <family val="2"/>
      </rPr>
      <t>, Fuel, Service, Repair</t>
    </r>
  </si>
  <si>
    <t>interest</t>
  </si>
  <si>
    <t>4020102 · Blue Stakes Utility Notification</t>
  </si>
  <si>
    <t>Net Income</t>
  </si>
  <si>
    <t>Jan - Sep 30,20</t>
  </si>
  <si>
    <t>Based on 1,212 ERU's billings 1,189 per month @ $50 plus 50 Inspections @ $100</t>
  </si>
  <si>
    <t>% YTD</t>
  </si>
  <si>
    <t>% of the year</t>
  </si>
  <si>
    <t>refine with Sunrise</t>
  </si>
  <si>
    <t>OKAY - PER ULGT 10-19-20</t>
  </si>
  <si>
    <t>(NEW LINE) TRANFER FROM PTIF OR LOAN PROCEEDS</t>
  </si>
  <si>
    <t>Balance</t>
  </si>
  <si>
    <t>From Depreciation</t>
  </si>
  <si>
    <t>additional needed current</t>
  </si>
  <si>
    <t>look at the state formula - increase - could be 2-5% - some items higher still</t>
  </si>
  <si>
    <t>LOAN PAYMENT 2023</t>
  </si>
  <si>
    <t>Employee Training</t>
  </si>
  <si>
    <t>above</t>
  </si>
  <si>
    <t>Jan - Oct 20</t>
  </si>
  <si>
    <r>
      <t xml:space="preserve">BALANCE </t>
    </r>
    <r>
      <rPr>
        <sz val="10"/>
        <color indexed="10"/>
        <rFont val="Arial"/>
        <family val="2"/>
      </rPr>
      <t>Oct 31</t>
    </r>
  </si>
  <si>
    <r>
      <t>2021</t>
    </r>
    <r>
      <rPr>
        <b/>
        <sz val="16"/>
        <color indexed="10"/>
        <rFont val="Arial"/>
        <family val="2"/>
      </rPr>
      <t xml:space="preserve"> </t>
    </r>
    <r>
      <rPr>
        <b/>
        <sz val="16"/>
        <rFont val="Arial"/>
        <family val="2"/>
      </rPr>
      <t>- BUDGET - FINAL</t>
    </r>
  </si>
  <si>
    <t>2022</t>
  </si>
  <si>
    <t>check ULGT</t>
  </si>
  <si>
    <r>
      <t xml:space="preserve">Monte Verde Lift Station / </t>
    </r>
    <r>
      <rPr>
        <sz val="10"/>
        <color indexed="10"/>
        <rFont val="Arial"/>
        <family val="2"/>
      </rPr>
      <t>Canyon View Lift Station</t>
    </r>
  </si>
  <si>
    <t>start - up</t>
  </si>
  <si>
    <t>Jan - Dec 21</t>
  </si>
  <si>
    <t>MONTHLY SERVICE FEES</t>
  </si>
  <si>
    <t>LATE FEES</t>
  </si>
  <si>
    <t>DEVELOPMENT FEES</t>
  </si>
  <si>
    <t>Will-Serve Fee</t>
  </si>
  <si>
    <t>Inspection Fee Construction App</t>
  </si>
  <si>
    <t>Stand by fee</t>
  </si>
  <si>
    <t>DEVELOPMENT FEES - Other</t>
  </si>
  <si>
    <t>Total DEVELOPMENT FEES</t>
  </si>
  <si>
    <t>TAXES INCOME</t>
  </si>
  <si>
    <t>County Property  Tax</t>
  </si>
  <si>
    <t>Delinquent Property Taxes</t>
  </si>
  <si>
    <t>Fee in Lieu</t>
  </si>
  <si>
    <t>Total TAXES INCOME</t>
  </si>
  <si>
    <t>OTHER INCOME</t>
  </si>
  <si>
    <t>INTEREST INCOME (Operations)</t>
  </si>
  <si>
    <t>Interest Income PTIF 0248 Exist</t>
  </si>
  <si>
    <t>Interest Income PTIF 4667 Emerg</t>
  </si>
  <si>
    <t>Interest Income PTIF 4668 Replc</t>
  </si>
  <si>
    <t>Total INTEREST INCOME (Operations)</t>
  </si>
  <si>
    <t>Automobile Miles/Parking/Tolls</t>
  </si>
  <si>
    <t>Blue Stakes Utility Notificatio</t>
  </si>
  <si>
    <t>Board Meeting Comp &amp; Expense</t>
  </si>
  <si>
    <t>INSURANCE</t>
  </si>
  <si>
    <t>Property / Equipment Insurance</t>
  </si>
  <si>
    <t>Liability Insurance</t>
  </si>
  <si>
    <t>Total INSURANCE</t>
  </si>
  <si>
    <t>Licenses and Permits</t>
  </si>
  <si>
    <t>OFFICE</t>
  </si>
  <si>
    <t>Bank Service Charges</t>
  </si>
  <si>
    <t>Returned Check Charge</t>
  </si>
  <si>
    <t>Dues &amp; Subscriptions</t>
  </si>
  <si>
    <t>Office Equip/Supplies/Software</t>
  </si>
  <si>
    <t>Postage and Delivery</t>
  </si>
  <si>
    <t>OFFICE - Other</t>
  </si>
  <si>
    <t>Total OFFICE</t>
  </si>
  <si>
    <t>SALARY, BONUS, BENEFITS &amp; TAX</t>
  </si>
  <si>
    <t>SALARIES, WAGES &amp; BONUSES</t>
  </si>
  <si>
    <t>Retirement Payments</t>
  </si>
  <si>
    <t>Office Wage &amp; Bonus</t>
  </si>
  <si>
    <t>Total SALARIES, WAGES &amp; BONUSES</t>
  </si>
  <si>
    <t>BENEFITS</t>
  </si>
  <si>
    <t>Health Insurance</t>
  </si>
  <si>
    <t>Total BENEFITS</t>
  </si>
  <si>
    <t>PAYROLL TAXES</t>
  </si>
  <si>
    <t>FUTA</t>
  </si>
  <si>
    <t>Medicare - District</t>
  </si>
  <si>
    <t>Social Security - District</t>
  </si>
  <si>
    <t>State Unemployment</t>
  </si>
  <si>
    <t>Total PAYROLL TAXES</t>
  </si>
  <si>
    <t>Total SALARY, BONUS, BENEFITS &amp; TAX</t>
  </si>
  <si>
    <t>PROFESSIONAL FEES</t>
  </si>
  <si>
    <t>Accounting</t>
  </si>
  <si>
    <t>Travel, Entertain &amp; Xmas Dinner</t>
  </si>
  <si>
    <t>UTILITIES-MAIN OFFICE &amp; GARAGE</t>
  </si>
  <si>
    <t>Electric</t>
  </si>
  <si>
    <t>Garbage</t>
  </si>
  <si>
    <t>Gas</t>
  </si>
  <si>
    <t>Telephone</t>
  </si>
  <si>
    <t>Water</t>
  </si>
  <si>
    <t>Total UTILITIES-MAIN OFFICE &amp; GARAGE</t>
  </si>
  <si>
    <t>Total ADMINISTRATION</t>
  </si>
  <si>
    <t>Equipment, Controls, Instrument</t>
  </si>
  <si>
    <t>Expansion Interest Income</t>
  </si>
  <si>
    <t>Interest Income PTIF 4598 Expan</t>
  </si>
  <si>
    <t>Interest Income 5271 Expansion</t>
  </si>
  <si>
    <t>Interest Income 3456 Expansion</t>
  </si>
  <si>
    <t>Total Expansion Interest Income</t>
  </si>
  <si>
    <t>Impact Fees</t>
  </si>
  <si>
    <t>Total EXPANSION INCOME</t>
  </si>
  <si>
    <t>EXPANSION - SEWER</t>
  </si>
  <si>
    <t>Engineering Fees</t>
  </si>
  <si>
    <t>Construction</t>
  </si>
  <si>
    <t>Impact Fee Reimbursement</t>
  </si>
  <si>
    <t>Total EXPANSION - SEWER</t>
  </si>
  <si>
    <t>BALANCE Sept 24th</t>
  </si>
  <si>
    <t>multipyer for remainder of the year</t>
  </si>
  <si>
    <t>%</t>
  </si>
  <si>
    <r>
      <t>Automobile Miles/Parking/Tolls for MGSID</t>
    </r>
    <r>
      <rPr>
        <sz val="10"/>
        <color indexed="10"/>
        <rFont val="Arial"/>
        <family val="2"/>
      </rPr>
      <t xml:space="preserve"> (DELETED 2022)</t>
    </r>
  </si>
  <si>
    <r>
      <t>2022</t>
    </r>
    <r>
      <rPr>
        <b/>
        <sz val="16"/>
        <color indexed="10"/>
        <rFont val="Arial"/>
        <family val="2"/>
      </rPr>
      <t xml:space="preserve"> </t>
    </r>
    <r>
      <rPr>
        <b/>
        <sz val="16"/>
        <rFont val="Arial"/>
        <family val="2"/>
      </rPr>
      <t>- BUDGET -</t>
    </r>
    <r>
      <rPr>
        <b/>
        <sz val="16"/>
        <color indexed="10"/>
        <rFont val="Arial"/>
        <family val="2"/>
      </rPr>
      <t xml:space="preserve"> CONCEPTS</t>
    </r>
  </si>
  <si>
    <t>ED NATE CERTIFY</t>
  </si>
  <si>
    <t>NOTES</t>
  </si>
  <si>
    <t xml:space="preserve"> </t>
  </si>
  <si>
    <t>ADD TO TRUCK</t>
  </si>
  <si>
    <t>FUTURE INCREASE</t>
  </si>
  <si>
    <t>reduce some?</t>
  </si>
  <si>
    <t>over run - plant problems</t>
  </si>
  <si>
    <t>use it</t>
  </si>
  <si>
    <t>contract</t>
  </si>
  <si>
    <t>bonds</t>
  </si>
  <si>
    <r>
      <t>CONSTRUCTION - Budget - 2022</t>
    </r>
    <r>
      <rPr>
        <b/>
        <sz val="18"/>
        <color indexed="10"/>
        <rFont val="Arial"/>
        <family val="2"/>
      </rPr>
      <t xml:space="preserve"> - CONCEPTS</t>
    </r>
  </si>
  <si>
    <t>Impact fee interest</t>
  </si>
  <si>
    <t>Impact Fee Expenses</t>
  </si>
  <si>
    <t>Common  Name</t>
  </si>
  <si>
    <t>payoff old debt</t>
  </si>
  <si>
    <t xml:space="preserve">projected 2022 end </t>
  </si>
  <si>
    <t>Transfer to Existing Res Facility Exp Account (0248)</t>
  </si>
  <si>
    <t>Construction transfer above</t>
  </si>
  <si>
    <t>Resident's Share New Facility- 0248</t>
  </si>
  <si>
    <t>Excess Funds from Acct #3456 - 8621</t>
  </si>
  <si>
    <t>Excess Funds from Acct #5271 / ALL NEW IMPACT FEES - 4598</t>
  </si>
  <si>
    <t>Emergency Funds - 4667</t>
  </si>
  <si>
    <t>Replacement/Depreciation - 4668</t>
  </si>
  <si>
    <t>cover expense then return/w bonds - $500K our part</t>
  </si>
  <si>
    <t>Plant construction below</t>
  </si>
  <si>
    <t>Funding &amp; Administration</t>
  </si>
  <si>
    <t>Preliminary Engineering Report</t>
  </si>
  <si>
    <t>Environmental Assesment</t>
  </si>
  <si>
    <t>Geotechnical Report</t>
  </si>
  <si>
    <t>Equipment RFP/Selection</t>
  </si>
  <si>
    <t>Preliminary Planning Contingency</t>
  </si>
  <si>
    <t>Treatment Plant Engineering Design</t>
  </si>
  <si>
    <t>Permitting</t>
  </si>
  <si>
    <t>Admin Legal</t>
  </si>
  <si>
    <t>Equipment Submittal Payment #1</t>
  </si>
  <si>
    <t>Treatment Plant Bidding</t>
  </si>
  <si>
    <t>Bond Closing</t>
  </si>
  <si>
    <t>Equipment Notice To Proceed #2</t>
  </si>
  <si>
    <t>Treatment Plant Construction</t>
  </si>
  <si>
    <t>Treatment Plant Construction Management</t>
  </si>
  <si>
    <t>Equipment Payment #3 Equipment Shipped</t>
  </si>
  <si>
    <t>Equipment Payment #4 Startup</t>
  </si>
  <si>
    <t>Park Line Phase I Construction</t>
  </si>
  <si>
    <t>Water Line Construction</t>
  </si>
  <si>
    <t>Canyon View Sewer Construction</t>
  </si>
  <si>
    <t>Bore &amp; Connection Construction</t>
  </si>
  <si>
    <t>In 2022</t>
  </si>
  <si>
    <t>WPR</t>
  </si>
  <si>
    <t>2022 expense</t>
  </si>
  <si>
    <t>cost</t>
  </si>
  <si>
    <t>In 2020 and 21</t>
  </si>
  <si>
    <t>CIP #6 Canyon View Lift Station Construction</t>
  </si>
  <si>
    <t>Grants (ARPA)</t>
  </si>
  <si>
    <t>Impact Fee</t>
  </si>
  <si>
    <t>Impact fee elegable</t>
  </si>
  <si>
    <t>CIP# 5Force Main Construction</t>
  </si>
  <si>
    <t>CIP#6 Canyon View Lift Station Design</t>
  </si>
  <si>
    <t xml:space="preserve"> -   </t>
  </si>
  <si>
    <t>LOAN / GRANT PROCEEDS</t>
  </si>
  <si>
    <t xml:space="preserve"> WPR SB CFP update</t>
  </si>
  <si>
    <t>cola 6%, SB, WPR</t>
  </si>
  <si>
    <t>must zero</t>
  </si>
  <si>
    <t xml:space="preserve">IMPACT FEE FUNDS </t>
  </si>
  <si>
    <t>Depreciation Expense (TRANSFER TO 4668)</t>
  </si>
  <si>
    <t>NOTHING TO TRANSFER</t>
  </si>
  <si>
    <t>PROJECTION UPDATED 2021</t>
  </si>
  <si>
    <t xml:space="preserve"> WPR SB CFP update, audit…</t>
  </si>
  <si>
    <t>SPEND SOME? 2-5% per state</t>
  </si>
  <si>
    <t>Bond Revenue</t>
  </si>
  <si>
    <t>Bond Balance - impact fee elgable</t>
  </si>
  <si>
    <t>Snowbasin</t>
  </si>
  <si>
    <t>hope $15,000,000</t>
  </si>
  <si>
    <t>remaining needed</t>
  </si>
  <si>
    <t>for bore, lift, park line</t>
  </si>
  <si>
    <t>duplicate below</t>
  </si>
  <si>
    <t>see below</t>
  </si>
  <si>
    <t>Bond repayment start 2023/2024</t>
  </si>
  <si>
    <r>
      <t>SAVINGS ACCOUNT BALANCES - Budget - 2022</t>
    </r>
    <r>
      <rPr>
        <b/>
        <sz val="18"/>
        <color indexed="10"/>
        <rFont val="Arial"/>
        <family val="2"/>
      </rPr>
      <t xml:space="preserve"> - CONCEPTS  ---- Internal use</t>
    </r>
  </si>
  <si>
    <r>
      <t>IMPACT FEES - Budget - 2022</t>
    </r>
    <r>
      <rPr>
        <b/>
        <sz val="18"/>
        <color indexed="10"/>
        <rFont val="Arial"/>
        <family val="2"/>
      </rPr>
      <t xml:space="preserve"> - CONCEPTS ------ INTERNAL USE</t>
    </r>
  </si>
  <si>
    <t>Total Construction Income</t>
  </si>
  <si>
    <t xml:space="preserve">show negative </t>
  </si>
  <si>
    <t>Bore Permitting</t>
  </si>
  <si>
    <t>ABOVE - CFP ONLY 2022</t>
  </si>
  <si>
    <t>UT do the WLA directly</t>
  </si>
  <si>
    <t>saving $</t>
  </si>
  <si>
    <t>cover expense then return/w bonds - use some for the new plant</t>
  </si>
  <si>
    <t xml:space="preserve">2023 show a reduction in debt </t>
  </si>
  <si>
    <t>Based on 1,230 ERU's billings 1,195 per month @ $50 plus 50 Impact Fees</t>
  </si>
  <si>
    <r>
      <t xml:space="preserve">Interm Financing </t>
    </r>
    <r>
      <rPr>
        <sz val="10"/>
        <color indexed="62"/>
        <rFont val="Arial"/>
        <family val="2"/>
      </rPr>
      <t>/ SCADA</t>
    </r>
  </si>
  <si>
    <t>Automobile Miles/Parking/Tolls for MGSID (DELETED 2022)</t>
  </si>
  <si>
    <t>Vehicles, Fuel, Service, Repair</t>
  </si>
  <si>
    <t>Monte Verde Lift Station / Canyon View Lift Station</t>
  </si>
  <si>
    <t xml:space="preserve">New projected 2022 end </t>
  </si>
  <si>
    <t>Approved Budget</t>
  </si>
  <si>
    <t>Budget - Amendment</t>
  </si>
  <si>
    <t>SPENT IN 2020</t>
  </si>
  <si>
    <t>Treatment Plant Engineering Design *</t>
  </si>
  <si>
    <t>* part completed prior ----- In 2022</t>
  </si>
  <si>
    <t>From Savings</t>
  </si>
  <si>
    <t xml:space="preserve">Professional Fees/Consulting (add Lincoln Hill) </t>
  </si>
  <si>
    <t>match the cash flow</t>
  </si>
  <si>
    <t>Grants (ARPA)  County</t>
  </si>
  <si>
    <t>Grants (ARPA)  State</t>
  </si>
  <si>
    <t>SCADA</t>
  </si>
  <si>
    <r>
      <t xml:space="preserve">2022 - BUDGET - </t>
    </r>
    <r>
      <rPr>
        <b/>
        <sz val="16"/>
        <color indexed="10"/>
        <rFont val="Arial"/>
        <family val="2"/>
      </rPr>
      <t>CONCEPTS 3</t>
    </r>
  </si>
  <si>
    <t>total</t>
  </si>
  <si>
    <t>remove headers to simplify: all opps -ie: not a different truck for the plant and collections</t>
  </si>
  <si>
    <t>combine supplies cells</t>
  </si>
  <si>
    <r>
      <t xml:space="preserve">CONSTRUCTION - Budget - 2022 </t>
    </r>
    <r>
      <rPr>
        <b/>
        <sz val="12"/>
        <color indexed="10"/>
        <rFont val="Arial"/>
        <family val="2"/>
      </rPr>
      <t>- CONCEPTS3</t>
    </r>
  </si>
  <si>
    <t>Supplies, Repairs &amp; Spares, other O&amp;M</t>
  </si>
  <si>
    <t>CIP #6 Canyon View Lift Station Construction*</t>
  </si>
  <si>
    <t>Bore &amp; Connection Construction*</t>
  </si>
  <si>
    <t>SCADA*</t>
  </si>
  <si>
    <t>Wasatch Peaks Ranch</t>
  </si>
  <si>
    <t>CFP Modification Wasatch Peaks and Snowbasin / Lobbyist</t>
  </si>
  <si>
    <t>Impact fee eligible</t>
  </si>
  <si>
    <t>DECEMBER BOARD MEETING</t>
  </si>
  <si>
    <t xml:space="preserve">DECEMBER BOARD MEETING </t>
  </si>
  <si>
    <t>Year End</t>
  </si>
  <si>
    <t>2023</t>
  </si>
  <si>
    <t>Snowbasin Construction Management</t>
  </si>
  <si>
    <t>Lift Station Construction Management</t>
  </si>
  <si>
    <t>Other Engineering Fees</t>
  </si>
  <si>
    <t>Interest Income</t>
  </si>
  <si>
    <t>TRANSFER TO (FROM) EXPANSION ACCOUNT</t>
  </si>
  <si>
    <t>Other Construction Expense</t>
  </si>
  <si>
    <t>Equipment</t>
  </si>
  <si>
    <t>Adjustment</t>
  </si>
  <si>
    <t>Proposed Budget</t>
  </si>
  <si>
    <t>2024</t>
  </si>
  <si>
    <t>2024 - DRAFT CONSTRUCTION BUDGET</t>
  </si>
  <si>
    <t>Actual Year End</t>
  </si>
  <si>
    <t>Jan - Dec 23</t>
  </si>
  <si>
    <t>$ Change</t>
  </si>
  <si>
    <t>% Change</t>
  </si>
  <si>
    <t>3040202 · DEVELOPMENT FEES</t>
  </si>
  <si>
    <t>3040205 · Stand by fee</t>
  </si>
  <si>
    <t>3040206 · Laterial inspection</t>
  </si>
  <si>
    <t>Total 3040202 · DEVELOPMENT FEES</t>
  </si>
  <si>
    <t>306015 · restricted bond interest</t>
  </si>
  <si>
    <t>306010A · INTEREST INCOME (Operations) - Other</t>
  </si>
  <si>
    <t>402030A · INSURANCE - Other</t>
  </si>
  <si>
    <t>4050100 · Furniture/Shelving/Fixtures</t>
  </si>
  <si>
    <t>4010204 · Retirement Payments</t>
  </si>
  <si>
    <t>401000B · SALARIES, WAGES &amp; BONUSES - Other</t>
  </si>
  <si>
    <t>401000A · SALARY, BONUS, BENEFITS &amp; TAX - Other</t>
  </si>
  <si>
    <t>307010A · CONSTRUCTION INCOME</t>
  </si>
  <si>
    <t>3070101 · Wasatch Peaks Ranch</t>
  </si>
  <si>
    <t>3070102 · Snowbasin</t>
  </si>
  <si>
    <t>3070104 · Grants (ARPA) State</t>
  </si>
  <si>
    <t>Total 307010A · CONSTRUCTION INCOME</t>
  </si>
  <si>
    <t>3060100 · Expansion Interest Income</t>
  </si>
  <si>
    <t>Total 3060100 · Expansion Interest Income</t>
  </si>
  <si>
    <t>409000A · CONSTRUCTION EXPENSE</t>
  </si>
  <si>
    <t>4090001 · CFP Mod Wastch Peaks/Snowbasin</t>
  </si>
  <si>
    <t>4090002 · Treatment Plant Eng. Design</t>
  </si>
  <si>
    <t>4090003 · Permitting</t>
  </si>
  <si>
    <t>4090004 · Admin Legal</t>
  </si>
  <si>
    <t>4090006 · Equipment Submittal Paymt #1</t>
  </si>
  <si>
    <t>4090008 · Bond Closing</t>
  </si>
  <si>
    <t>4090009 · Equipmt Notice to Proceed</t>
  </si>
  <si>
    <t>4090010 · Treatmt Plant Construction</t>
  </si>
  <si>
    <t>4090011 · Treamt Plant Const Mangmt</t>
  </si>
  <si>
    <t>4090012 · Eqmt Pymt #3 Equp Shipped</t>
  </si>
  <si>
    <t>4090015 · CIP #6 Canyon View Lift Station</t>
  </si>
  <si>
    <t>4090018 · Lift Station CMGC</t>
  </si>
  <si>
    <t>4090016 · Bore &amp; Connection Constr.</t>
  </si>
  <si>
    <t>409000A · CONSTRUCTION EXPENSE - Other</t>
  </si>
  <si>
    <t>Total 409000A · CONSTRUCTION EXPENSE</t>
  </si>
  <si>
    <t>408000B · EXPANSION - SEWER - Other</t>
  </si>
  <si>
    <t>8010 · OTHER EXPENSES</t>
  </si>
  <si>
    <t xml:space="preserve"> Budget</t>
  </si>
  <si>
    <t>Estimated YE</t>
  </si>
  <si>
    <t>Estimate</t>
  </si>
  <si>
    <t>Bond Budget</t>
  </si>
  <si>
    <t>TOTAL CONSTRUCTION INCOME</t>
  </si>
  <si>
    <t>Not Received</t>
  </si>
  <si>
    <t xml:space="preserve">              ADMINISTRATION EXPENSES</t>
  </si>
  <si>
    <t>Other</t>
  </si>
  <si>
    <t>EXPENSES</t>
  </si>
  <si>
    <t xml:space="preserve">               OPERATION EXPENSE</t>
  </si>
  <si>
    <t xml:space="preserve"> ADMINISTRATION EXPENSES</t>
  </si>
  <si>
    <t>Transfer to (From) Bond Account (6148)</t>
  </si>
  <si>
    <t>Interest Expense on Bonds</t>
  </si>
  <si>
    <t>2025 - DRAFT GENERAL BUDGET</t>
  </si>
  <si>
    <t>2025</t>
  </si>
  <si>
    <t>2024 DRAFT COMBINED BUDGET AMENDMENT</t>
  </si>
  <si>
    <t>Budget 2025</t>
  </si>
  <si>
    <t>4050700 · Bond Interest Expense</t>
  </si>
  <si>
    <t>4050702 · Interest Expense CIB Bond</t>
  </si>
  <si>
    <t>4050701 · Interest Expense DWQ Bond</t>
  </si>
  <si>
    <t>4050700 · Bond Interest Expense - Other</t>
  </si>
  <si>
    <t>Total 4050700 · Bond Interest Expense</t>
  </si>
  <si>
    <t>3070106 · Bond Revenue</t>
  </si>
  <si>
    <t>3060100 · Expansion Interest Income - Other</t>
  </si>
  <si>
    <t>Jan - Dec 24</t>
  </si>
  <si>
    <t>3070103 · Grants (ARPA) County</t>
  </si>
  <si>
    <t>3070300 · GAIN OR LOSS ON SALE OF ASSET</t>
  </si>
  <si>
    <t>Bond Interest Expense</t>
  </si>
  <si>
    <t>Gain(Loss) Sale of Assets</t>
  </si>
  <si>
    <t xml:space="preserve">Based on 1,390 ERU's billings per month @ $50 &amp; 50 ERU @ $150 </t>
  </si>
  <si>
    <t>Repaired Manholes Due to having leftover on Clean and Video</t>
  </si>
  <si>
    <t>Crews spreadsheets</t>
  </si>
  <si>
    <t>purchased Printer</t>
  </si>
  <si>
    <t>Printer Purchased</t>
  </si>
  <si>
    <t>New Server - Getting Bids</t>
  </si>
  <si>
    <t>3.5% Wage Increase + New Employee for Plant</t>
  </si>
  <si>
    <t>Adding wprud</t>
  </si>
  <si>
    <t>Upgrade Equipment for additional use from WPRUD</t>
  </si>
  <si>
    <t>Additional Depreciation due to New Plant</t>
  </si>
  <si>
    <t>Proposed</t>
  </si>
  <si>
    <t>Tax Increase</t>
  </si>
  <si>
    <t>Interest decrease due to money being spent</t>
  </si>
  <si>
    <t>AES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</si>
</sst>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%"/>
    <numFmt numFmtId="166" formatCode="_(&quot;$&quot;* #,##0_);_(&quot;$&quot;* \(#,##0\);_(&quot;$&quot;* &quot;-&quot;??_);_(@_)"/>
    <numFmt numFmtId="167" formatCode="_(* #,##0_);_(* \(#,##0\);_(* &quot;-&quot;??_);_(@_)"/>
    <numFmt numFmtId="168" formatCode="#,##0.00;\-#,##0.00"/>
    <numFmt numFmtId="169" formatCode="#,##0.0#%;\-#,##0.0#%"/>
    <numFmt numFmtId="170" formatCode="#,##0;\-#,##0"/>
    <numFmt numFmtId="171" formatCode="#,##0%;\-#,##0%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3.5"/>
      <name val="Arial"/>
      <family val="2"/>
    </font>
    <font>
      <i/>
      <sz val="10"/>
      <name val="Arial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color indexed="10"/>
      <name val="Arial"/>
      <family val="2"/>
    </font>
    <font>
      <sz val="10"/>
      <color indexed="10"/>
      <name val="Arial"/>
      <family val="2"/>
    </font>
    <font>
      <b/>
      <sz val="18"/>
      <color indexed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0"/>
      <color indexed="62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2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9"/>
      <color theme="1" tint="0.34998626667073579"/>
      <name val="Arial"/>
      <family val="2"/>
    </font>
    <font>
      <i/>
      <sz val="9"/>
      <color theme="1" tint="0.34998626667073579"/>
      <name val="Arial"/>
      <family val="2"/>
    </font>
    <font>
      <b/>
      <i/>
      <sz val="10"/>
      <color rgb="FFC00000"/>
      <name val="Arial"/>
      <family val="2"/>
    </font>
    <font>
      <b/>
      <sz val="12"/>
      <color theme="6" tint="-0.499984740745262"/>
      <name val="Arial"/>
      <family val="2"/>
    </font>
    <font>
      <b/>
      <sz val="12"/>
      <color theme="5" tint="-0.499984740745262"/>
      <name val="Arial"/>
      <family val="2"/>
    </font>
    <font>
      <b/>
      <sz val="16"/>
      <color rgb="FFC00000"/>
      <name val="Arial"/>
      <family val="2"/>
    </font>
    <font>
      <b/>
      <sz val="14"/>
      <color theme="5" tint="-0.499984740745262"/>
      <name val="Arial"/>
      <family val="2"/>
    </font>
    <font>
      <b/>
      <sz val="14"/>
      <color theme="6" tint="-0.499984740745262"/>
      <name val="Arial"/>
      <family val="2"/>
    </font>
    <font>
      <b/>
      <sz val="10"/>
      <color rgb="FFFF0000"/>
      <name val="Arial"/>
      <family val="2"/>
    </font>
    <font>
      <i/>
      <sz val="9"/>
      <color rgb="FFFF0000"/>
      <name val="Arial"/>
      <family val="2"/>
    </font>
    <font>
      <b/>
      <sz val="12"/>
      <color rgb="FFC00000"/>
      <name val="Arial"/>
      <family val="2"/>
    </font>
    <font>
      <b/>
      <sz val="10"/>
      <color theme="1" tint="0.34998626667073579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i/>
      <sz val="12"/>
      <color theme="1" tint="0.34998626667073579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0"/>
      <color theme="1" tint="0.3499862666707357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12"/>
      <color theme="1" tint="0.34998626667073579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sz val="14"/>
      <color indexed="81"/>
      <name val="Tahoma"/>
      <family val="2"/>
    </font>
    <font>
      <b/>
      <sz val="14"/>
      <color indexed="81"/>
      <name val="Tahoma"/>
      <family val="2"/>
    </font>
    <font>
      <i/>
      <sz val="14"/>
      <name val="Arial"/>
      <family val="2"/>
    </font>
    <font>
      <sz val="14"/>
      <color indexed="81"/>
      <name val="Tahoma"/>
      <charset val="1"/>
    </font>
    <font>
      <b/>
      <sz val="14"/>
      <color indexed="81"/>
      <name val="Tahoma"/>
      <charset val="1"/>
    </font>
  </fonts>
  <fills count="2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1">
    <xf numFmtId="0" fontId="0" fillId="0" borderId="0"/>
    <xf numFmtId="0" fontId="35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7" fillId="5" borderId="0" applyNumberFormat="0" applyBorder="0" applyAlignment="0" applyProtection="0"/>
    <xf numFmtId="0" fontId="6" fillId="0" borderId="0"/>
    <xf numFmtId="0" fontId="24" fillId="0" borderId="0"/>
    <xf numFmtId="0" fontId="6" fillId="0" borderId="0"/>
    <xf numFmtId="0" fontId="34" fillId="0" borderId="0"/>
    <xf numFmtId="0" fontId="28" fillId="0" borderId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</cellStyleXfs>
  <cellXfs count="739">
    <xf numFmtId="0" fontId="0" fillId="0" borderId="0" xfId="0"/>
    <xf numFmtId="164" fontId="0" fillId="0" borderId="0" xfId="0" applyNumberFormat="1"/>
    <xf numFmtId="0" fontId="6" fillId="0" borderId="0" xfId="0" applyFont="1"/>
    <xf numFmtId="164" fontId="5" fillId="6" borderId="1" xfId="0" applyNumberFormat="1" applyFont="1" applyFill="1" applyBorder="1" applyAlignment="1">
      <alignment horizontal="center"/>
    </xf>
    <xf numFmtId="42" fontId="8" fillId="6" borderId="2" xfId="0" applyNumberFormat="1" applyFont="1" applyFill="1" applyBorder="1"/>
    <xf numFmtId="42" fontId="8" fillId="6" borderId="3" xfId="0" applyNumberFormat="1" applyFont="1" applyFill="1" applyBorder="1"/>
    <xf numFmtId="165" fontId="38" fillId="0" borderId="0" xfId="0" applyNumberFormat="1" applyFont="1" applyAlignment="1">
      <alignment horizontal="centerContinuous"/>
    </xf>
    <xf numFmtId="165" fontId="38" fillId="0" borderId="0" xfId="0" applyNumberFormat="1" applyFont="1" applyAlignment="1">
      <alignment horizontal="center"/>
    </xf>
    <xf numFmtId="0" fontId="38" fillId="0" borderId="0" xfId="0" applyFont="1" applyAlignment="1">
      <alignment horizontal="centerContinuous"/>
    </xf>
    <xf numFmtId="0" fontId="38" fillId="0" borderId="0" xfId="0" applyFont="1" applyAlignment="1">
      <alignment horizontal="center"/>
    </xf>
    <xf numFmtId="42" fontId="39" fillId="0" borderId="0" xfId="0" applyNumberFormat="1" applyFont="1"/>
    <xf numFmtId="165" fontId="39" fillId="0" borderId="2" xfId="0" applyNumberFormat="1" applyFont="1" applyBorder="1"/>
    <xf numFmtId="165" fontId="39" fillId="0" borderId="4" xfId="0" applyNumberFormat="1" applyFont="1" applyBorder="1"/>
    <xf numFmtId="0" fontId="4" fillId="0" borderId="0" xfId="0" applyFont="1" applyAlignment="1">
      <alignment horizontal="right"/>
    </xf>
    <xf numFmtId="165" fontId="39" fillId="7" borderId="4" xfId="0" applyNumberFormat="1" applyFont="1" applyFill="1" applyBorder="1"/>
    <xf numFmtId="0" fontId="0" fillId="8" borderId="5" xfId="0" applyFill="1" applyBorder="1" applyAlignment="1">
      <alignment horizontal="right"/>
    </xf>
    <xf numFmtId="0" fontId="4" fillId="9" borderId="6" xfId="0" applyFont="1" applyFill="1" applyBorder="1"/>
    <xf numFmtId="0" fontId="4" fillId="9" borderId="7" xfId="0" applyFont="1" applyFill="1" applyBorder="1" applyAlignment="1">
      <alignment horizontal="right"/>
    </xf>
    <xf numFmtId="0" fontId="6" fillId="9" borderId="7" xfId="0" applyFont="1" applyFill="1" applyBorder="1" applyAlignment="1">
      <alignment horizontal="right"/>
    </xf>
    <xf numFmtId="0" fontId="0" fillId="9" borderId="7" xfId="0" applyFill="1" applyBorder="1" applyAlignment="1">
      <alignment horizontal="right"/>
    </xf>
    <xf numFmtId="0" fontId="4" fillId="9" borderId="8" xfId="0" applyFont="1" applyFill="1" applyBorder="1" applyAlignment="1">
      <alignment horizontal="right"/>
    </xf>
    <xf numFmtId="0" fontId="0" fillId="9" borderId="9" xfId="0" applyFill="1" applyBorder="1" applyAlignment="1">
      <alignment horizontal="right"/>
    </xf>
    <xf numFmtId="42" fontId="38" fillId="0" borderId="0" xfId="0" applyNumberFormat="1" applyFont="1"/>
    <xf numFmtId="0" fontId="4" fillId="0" borderId="0" xfId="0" applyFont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4" fillId="9" borderId="7" xfId="0" applyFont="1" applyFill="1" applyBorder="1"/>
    <xf numFmtId="42" fontId="9" fillId="0" borderId="0" xfId="0" applyNumberFormat="1" applyFont="1"/>
    <xf numFmtId="42" fontId="38" fillId="0" borderId="11" xfId="0" applyNumberFormat="1" applyFont="1" applyBorder="1"/>
    <xf numFmtId="165" fontId="39" fillId="0" borderId="1" xfId="0" applyNumberFormat="1" applyFont="1" applyBorder="1"/>
    <xf numFmtId="165" fontId="39" fillId="0" borderId="3" xfId="0" applyNumberFormat="1" applyFont="1" applyBorder="1"/>
    <xf numFmtId="0" fontId="40" fillId="0" borderId="0" xfId="0" applyFont="1"/>
    <xf numFmtId="0" fontId="4" fillId="8" borderId="12" xfId="0" applyFont="1" applyFill="1" applyBorder="1"/>
    <xf numFmtId="42" fontId="8" fillId="6" borderId="7" xfId="0" applyNumberFormat="1" applyFont="1" applyFill="1" applyBorder="1"/>
    <xf numFmtId="42" fontId="8" fillId="6" borderId="8" xfId="0" applyNumberFormat="1" applyFont="1" applyFill="1" applyBorder="1"/>
    <xf numFmtId="42" fontId="8" fillId="8" borderId="6" xfId="0" applyNumberFormat="1" applyFont="1" applyFill="1" applyBorder="1"/>
    <xf numFmtId="42" fontId="8" fillId="8" borderId="7" xfId="0" applyNumberFormat="1" applyFont="1" applyFill="1" applyBorder="1"/>
    <xf numFmtId="166" fontId="20" fillId="6" borderId="2" xfId="8" applyNumberFormat="1" applyFont="1" applyFill="1" applyBorder="1"/>
    <xf numFmtId="0" fontId="5" fillId="6" borderId="6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right"/>
    </xf>
    <xf numFmtId="0" fontId="5" fillId="6" borderId="8" xfId="0" applyFont="1" applyFill="1" applyBorder="1" applyAlignment="1">
      <alignment horizontal="right"/>
    </xf>
    <xf numFmtId="0" fontId="0" fillId="6" borderId="7" xfId="0" applyFill="1" applyBorder="1" applyAlignment="1">
      <alignment horizontal="right"/>
    </xf>
    <xf numFmtId="0" fontId="6" fillId="6" borderId="8" xfId="0" applyFont="1" applyFill="1" applyBorder="1" applyAlignment="1">
      <alignment horizontal="right"/>
    </xf>
    <xf numFmtId="0" fontId="5" fillId="0" borderId="12" xfId="0" applyFont="1" applyBorder="1"/>
    <xf numFmtId="42" fontId="9" fillId="0" borderId="13" xfId="0" applyNumberFormat="1" applyFont="1" applyBorder="1"/>
    <xf numFmtId="0" fontId="4" fillId="6" borderId="14" xfId="0" applyFont="1" applyFill="1" applyBorder="1"/>
    <xf numFmtId="0" fontId="4" fillId="6" borderId="2" xfId="0" applyFont="1" applyFill="1" applyBorder="1" applyAlignment="1">
      <alignment horizontal="center"/>
    </xf>
    <xf numFmtId="0" fontId="0" fillId="0" borderId="12" xfId="0" applyBorder="1"/>
    <xf numFmtId="42" fontId="8" fillId="0" borderId="13" xfId="0" applyNumberFormat="1" applyFont="1" applyBorder="1"/>
    <xf numFmtId="0" fontId="5" fillId="0" borderId="0" xfId="0" applyFont="1" applyAlignment="1">
      <alignment horizontal="right"/>
    </xf>
    <xf numFmtId="165" fontId="38" fillId="0" borderId="0" xfId="0" applyNumberFormat="1" applyFont="1"/>
    <xf numFmtId="42" fontId="38" fillId="0" borderId="13" xfId="0" applyNumberFormat="1" applyFont="1" applyBorder="1"/>
    <xf numFmtId="165" fontId="39" fillId="0" borderId="15" xfId="0" applyNumberFormat="1" applyFont="1" applyBorder="1"/>
    <xf numFmtId="0" fontId="4" fillId="10" borderId="16" xfId="0" applyFont="1" applyFill="1" applyBorder="1" applyAlignment="1">
      <alignment horizontal="right"/>
    </xf>
    <xf numFmtId="42" fontId="4" fillId="10" borderId="15" xfId="0" applyNumberFormat="1" applyFont="1" applyFill="1" applyBorder="1"/>
    <xf numFmtId="0" fontId="4" fillId="10" borderId="5" xfId="0" applyFont="1" applyFill="1" applyBorder="1" applyAlignment="1">
      <alignment horizontal="right"/>
    </xf>
    <xf numFmtId="42" fontId="10" fillId="10" borderId="2" xfId="0" applyNumberFormat="1" applyFont="1" applyFill="1" applyBorder="1"/>
    <xf numFmtId="0" fontId="4" fillId="10" borderId="6" xfId="0" applyFont="1" applyFill="1" applyBorder="1" applyAlignment="1">
      <alignment horizontal="right"/>
    </xf>
    <xf numFmtId="166" fontId="4" fillId="10" borderId="6" xfId="8" applyNumberFormat="1" applyFont="1" applyFill="1" applyBorder="1"/>
    <xf numFmtId="0" fontId="41" fillId="0" borderId="14" xfId="0" applyFont="1" applyBorder="1" applyAlignment="1">
      <alignment horizontal="right" wrapText="1"/>
    </xf>
    <xf numFmtId="42" fontId="38" fillId="0" borderId="14" xfId="0" applyNumberFormat="1" applyFont="1" applyBorder="1"/>
    <xf numFmtId="0" fontId="3" fillId="0" borderId="16" xfId="0" applyFont="1" applyBorder="1" applyAlignment="1">
      <alignment horizontal="right" wrapText="1"/>
    </xf>
    <xf numFmtId="42" fontId="39" fillId="0" borderId="13" xfId="0" applyNumberFormat="1" applyFont="1" applyBorder="1"/>
    <xf numFmtId="0" fontId="42" fillId="0" borderId="5" xfId="0" applyFont="1" applyBorder="1" applyAlignment="1">
      <alignment horizontal="right"/>
    </xf>
    <xf numFmtId="42" fontId="38" fillId="0" borderId="5" xfId="0" applyNumberFormat="1" applyFont="1" applyBorder="1"/>
    <xf numFmtId="0" fontId="4" fillId="0" borderId="12" xfId="0" applyFont="1" applyBorder="1" applyAlignment="1">
      <alignment horizontal="right"/>
    </xf>
    <xf numFmtId="166" fontId="4" fillId="0" borderId="13" xfId="8" applyNumberFormat="1" applyFont="1" applyFill="1" applyBorder="1"/>
    <xf numFmtId="0" fontId="18" fillId="0" borderId="6" xfId="0" applyFont="1" applyBorder="1" applyAlignment="1">
      <alignment horizontal="right" wrapText="1"/>
    </xf>
    <xf numFmtId="42" fontId="39" fillId="0" borderId="11" xfId="0" applyNumberFormat="1" applyFont="1" applyBorder="1"/>
    <xf numFmtId="0" fontId="5" fillId="0" borderId="12" xfId="0" applyFont="1" applyBorder="1" applyAlignment="1">
      <alignment horizontal="right"/>
    </xf>
    <xf numFmtId="0" fontId="15" fillId="11" borderId="5" xfId="0" applyFont="1" applyFill="1" applyBorder="1" applyAlignment="1">
      <alignment horizontal="right"/>
    </xf>
    <xf numFmtId="42" fontId="8" fillId="12" borderId="2" xfId="0" applyNumberFormat="1" applyFont="1" applyFill="1" applyBorder="1"/>
    <xf numFmtId="164" fontId="5" fillId="13" borderId="1" xfId="0" applyNumberFormat="1" applyFont="1" applyFill="1" applyBorder="1" applyAlignment="1">
      <alignment horizontal="center"/>
    </xf>
    <xf numFmtId="42" fontId="8" fillId="13" borderId="2" xfId="0" applyNumberFormat="1" applyFont="1" applyFill="1" applyBorder="1"/>
    <xf numFmtId="42" fontId="8" fillId="13" borderId="3" xfId="0" applyNumberFormat="1" applyFont="1" applyFill="1" applyBorder="1"/>
    <xf numFmtId="49" fontId="4" fillId="12" borderId="16" xfId="0" applyNumberFormat="1" applyFont="1" applyFill="1" applyBorder="1" applyAlignment="1">
      <alignment horizontal="center"/>
    </xf>
    <xf numFmtId="49" fontId="4" fillId="8" borderId="16" xfId="0" applyNumberFormat="1" applyFont="1" applyFill="1" applyBorder="1" applyAlignment="1">
      <alignment horizontal="center"/>
    </xf>
    <xf numFmtId="0" fontId="4" fillId="13" borderId="2" xfId="0" applyFont="1" applyFill="1" applyBorder="1" applyAlignment="1">
      <alignment horizontal="center"/>
    </xf>
    <xf numFmtId="166" fontId="20" fillId="13" borderId="2" xfId="8" applyNumberFormat="1" applyFont="1" applyFill="1" applyBorder="1"/>
    <xf numFmtId="42" fontId="10" fillId="14" borderId="2" xfId="0" applyNumberFormat="1" applyFont="1" applyFill="1" applyBorder="1"/>
    <xf numFmtId="0" fontId="4" fillId="11" borderId="5" xfId="0" applyFont="1" applyFill="1" applyBorder="1" applyAlignment="1">
      <alignment horizontal="right"/>
    </xf>
    <xf numFmtId="42" fontId="10" fillId="11" borderId="8" xfId="0" applyNumberFormat="1" applyFont="1" applyFill="1" applyBorder="1"/>
    <xf numFmtId="42" fontId="10" fillId="15" borderId="2" xfId="0" applyNumberFormat="1" applyFont="1" applyFill="1" applyBorder="1"/>
    <xf numFmtId="42" fontId="8" fillId="13" borderId="7" xfId="0" applyNumberFormat="1" applyFont="1" applyFill="1" applyBorder="1"/>
    <xf numFmtId="42" fontId="8" fillId="13" borderId="8" xfId="0" applyNumberFormat="1" applyFont="1" applyFill="1" applyBorder="1"/>
    <xf numFmtId="42" fontId="4" fillId="14" borderId="15" xfId="0" applyNumberFormat="1" applyFont="1" applyFill="1" applyBorder="1"/>
    <xf numFmtId="166" fontId="4" fillId="14" borderId="6" xfId="8" applyNumberFormat="1" applyFont="1" applyFill="1" applyBorder="1"/>
    <xf numFmtId="166" fontId="43" fillId="14" borderId="17" xfId="8" applyNumberFormat="1" applyFont="1" applyFill="1" applyBorder="1" applyAlignment="1"/>
    <xf numFmtId="42" fontId="44" fillId="13" borderId="7" xfId="0" applyNumberFormat="1" applyFont="1" applyFill="1" applyBorder="1"/>
    <xf numFmtId="42" fontId="45" fillId="13" borderId="8" xfId="0" applyNumberFormat="1" applyFont="1" applyFill="1" applyBorder="1"/>
    <xf numFmtId="166" fontId="43" fillId="10" borderId="17" xfId="8" applyNumberFormat="1" applyFont="1" applyFill="1" applyBorder="1" applyAlignment="1"/>
    <xf numFmtId="42" fontId="44" fillId="6" borderId="7" xfId="0" applyNumberFormat="1" applyFont="1" applyFill="1" applyBorder="1"/>
    <xf numFmtId="42" fontId="45" fillId="6" borderId="8" xfId="0" applyNumberFormat="1" applyFont="1" applyFill="1" applyBorder="1"/>
    <xf numFmtId="0" fontId="38" fillId="0" borderId="13" xfId="0" applyFont="1" applyBorder="1" applyAlignment="1">
      <alignment horizontal="center"/>
    </xf>
    <xf numFmtId="165" fontId="38" fillId="0" borderId="15" xfId="0" applyNumberFormat="1" applyFont="1" applyBorder="1" applyAlignment="1">
      <alignment horizontal="center"/>
    </xf>
    <xf numFmtId="42" fontId="39" fillId="0" borderId="18" xfId="0" applyNumberFormat="1" applyFont="1" applyBorder="1"/>
    <xf numFmtId="165" fontId="38" fillId="0" borderId="2" xfId="0" applyNumberFormat="1" applyFont="1" applyBorder="1" applyAlignment="1">
      <alignment horizontal="centerContinuous"/>
    </xf>
    <xf numFmtId="42" fontId="38" fillId="0" borderId="11" xfId="0" applyNumberFormat="1" applyFont="1" applyBorder="1" applyAlignment="1">
      <alignment horizontal="center"/>
    </xf>
    <xf numFmtId="165" fontId="38" fillId="0" borderId="1" xfId="0" applyNumberFormat="1" applyFont="1" applyBorder="1" applyAlignment="1">
      <alignment horizontal="center"/>
    </xf>
    <xf numFmtId="42" fontId="39" fillId="0" borderId="12" xfId="0" applyNumberFormat="1" applyFont="1" applyBorder="1"/>
    <xf numFmtId="165" fontId="38" fillId="0" borderId="1" xfId="0" applyNumberFormat="1" applyFont="1" applyBorder="1" applyAlignment="1">
      <alignment horizontal="centerContinuous"/>
    </xf>
    <xf numFmtId="165" fontId="38" fillId="0" borderId="2" xfId="0" applyNumberFormat="1" applyFont="1" applyBorder="1" applyAlignment="1">
      <alignment horizontal="center"/>
    </xf>
    <xf numFmtId="165" fontId="39" fillId="0" borderId="19" xfId="0" applyNumberFormat="1" applyFont="1" applyBorder="1"/>
    <xf numFmtId="44" fontId="0" fillId="0" borderId="0" xfId="0" applyNumberFormat="1"/>
    <xf numFmtId="0" fontId="14" fillId="0" borderId="0" xfId="0" applyFont="1"/>
    <xf numFmtId="42" fontId="0" fillId="0" borderId="0" xfId="0" applyNumberFormat="1"/>
    <xf numFmtId="166" fontId="0" fillId="0" borderId="0" xfId="0" applyNumberFormat="1"/>
    <xf numFmtId="166" fontId="20" fillId="0" borderId="0" xfId="8" applyNumberFormat="1" applyFont="1" applyFill="1" applyBorder="1"/>
    <xf numFmtId="164" fontId="5" fillId="0" borderId="0" xfId="0" applyNumberFormat="1" applyFont="1" applyAlignment="1">
      <alignment horizontal="center"/>
    </xf>
    <xf numFmtId="0" fontId="6" fillId="8" borderId="5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44" fontId="6" fillId="0" borderId="0" xfId="8" applyFont="1"/>
    <xf numFmtId="0" fontId="36" fillId="4" borderId="0" xfId="3"/>
    <xf numFmtId="0" fontId="6" fillId="16" borderId="5" xfId="0" applyFont="1" applyFill="1" applyBorder="1" applyAlignment="1">
      <alignment horizontal="right"/>
    </xf>
    <xf numFmtId="167" fontId="16" fillId="6" borderId="17" xfId="4" applyNumberFormat="1" applyFont="1" applyFill="1" applyBorder="1"/>
    <xf numFmtId="167" fontId="39" fillId="0" borderId="0" xfId="4" applyNumberFormat="1" applyFont="1" applyFill="1" applyBorder="1"/>
    <xf numFmtId="167" fontId="16" fillId="6" borderId="5" xfId="4" applyNumberFormat="1" applyFont="1" applyFill="1" applyBorder="1"/>
    <xf numFmtId="167" fontId="16" fillId="6" borderId="14" xfId="4" applyNumberFormat="1" applyFont="1" applyFill="1" applyBorder="1"/>
    <xf numFmtId="167" fontId="44" fillId="6" borderId="7" xfId="4" applyNumberFormat="1" applyFont="1" applyFill="1" applyBorder="1" applyAlignment="1"/>
    <xf numFmtId="167" fontId="45" fillId="6" borderId="8" xfId="4" applyNumberFormat="1" applyFont="1" applyFill="1" applyBorder="1" applyAlignment="1"/>
    <xf numFmtId="167" fontId="0" fillId="0" borderId="0" xfId="4" applyNumberFormat="1" applyFont="1"/>
    <xf numFmtId="167" fontId="8" fillId="6" borderId="7" xfId="4" applyNumberFormat="1" applyFont="1" applyFill="1" applyBorder="1"/>
    <xf numFmtId="167" fontId="8" fillId="6" borderId="8" xfId="4" applyNumberFormat="1" applyFont="1" applyFill="1" applyBorder="1"/>
    <xf numFmtId="167" fontId="8" fillId="6" borderId="2" xfId="4" applyNumberFormat="1" applyFont="1" applyFill="1" applyBorder="1"/>
    <xf numFmtId="167" fontId="20" fillId="6" borderId="2" xfId="4" applyNumberFormat="1" applyFont="1" applyFill="1" applyBorder="1"/>
    <xf numFmtId="167" fontId="8" fillId="8" borderId="7" xfId="4" applyNumberFormat="1" applyFont="1" applyFill="1" applyBorder="1"/>
    <xf numFmtId="167" fontId="14" fillId="6" borderId="7" xfId="4" applyNumberFormat="1" applyFont="1" applyFill="1" applyBorder="1"/>
    <xf numFmtId="167" fontId="14" fillId="6" borderId="8" xfId="4" applyNumberFormat="1" applyFont="1" applyFill="1" applyBorder="1"/>
    <xf numFmtId="167" fontId="14" fillId="6" borderId="2" xfId="4" applyNumberFormat="1" applyFont="1" applyFill="1" applyBorder="1"/>
    <xf numFmtId="167" fontId="14" fillId="6" borderId="19" xfId="4" applyNumberFormat="1" applyFont="1" applyFill="1" applyBorder="1"/>
    <xf numFmtId="0" fontId="36" fillId="4" borderId="20" xfId="3" applyBorder="1"/>
    <xf numFmtId="10" fontId="36" fillId="4" borderId="20" xfId="3" applyNumberFormat="1" applyBorder="1"/>
    <xf numFmtId="0" fontId="37" fillId="5" borderId="0" xfId="12"/>
    <xf numFmtId="167" fontId="8" fillId="12" borderId="0" xfId="4" applyNumberFormat="1" applyFont="1" applyFill="1" applyBorder="1"/>
    <xf numFmtId="167" fontId="16" fillId="13" borderId="14" xfId="4" applyNumberFormat="1" applyFont="1" applyFill="1" applyBorder="1"/>
    <xf numFmtId="167" fontId="14" fillId="13" borderId="0" xfId="4" applyNumberFormat="1" applyFont="1" applyFill="1" applyBorder="1"/>
    <xf numFmtId="167" fontId="14" fillId="13" borderId="21" xfId="4" applyNumberFormat="1" applyFont="1" applyFill="1" applyBorder="1"/>
    <xf numFmtId="0" fontId="6" fillId="0" borderId="5" xfId="0" applyFont="1" applyBorder="1" applyAlignment="1">
      <alignment horizontal="right"/>
    </xf>
    <xf numFmtId="167" fontId="39" fillId="0" borderId="11" xfId="4" applyNumberFormat="1" applyFont="1" applyFill="1" applyBorder="1"/>
    <xf numFmtId="167" fontId="39" fillId="0" borderId="10" xfId="4" applyNumberFormat="1" applyFont="1" applyFill="1" applyBorder="1"/>
    <xf numFmtId="167" fontId="8" fillId="12" borderId="13" xfId="4" applyNumberFormat="1" applyFont="1" applyFill="1" applyBorder="1"/>
    <xf numFmtId="0" fontId="46" fillId="6" borderId="16" xfId="0" applyFont="1" applyFill="1" applyBorder="1" applyAlignment="1">
      <alignment horizontal="right"/>
    </xf>
    <xf numFmtId="167" fontId="47" fillId="0" borderId="0" xfId="4" applyNumberFormat="1" applyFont="1" applyFill="1" applyBorder="1"/>
    <xf numFmtId="167" fontId="39" fillId="17" borderId="0" xfId="4" applyNumberFormat="1" applyFont="1" applyFill="1" applyBorder="1"/>
    <xf numFmtId="167" fontId="39" fillId="18" borderId="0" xfId="4" applyNumberFormat="1" applyFont="1" applyFill="1" applyBorder="1"/>
    <xf numFmtId="0" fontId="36" fillId="4" borderId="22" xfId="3" applyBorder="1"/>
    <xf numFmtId="166" fontId="36" fillId="4" borderId="20" xfId="3" applyNumberFormat="1" applyBorder="1"/>
    <xf numFmtId="166" fontId="11" fillId="0" borderId="0" xfId="0" applyNumberFormat="1" applyFont="1" applyAlignment="1">
      <alignment horizontal="right"/>
    </xf>
    <xf numFmtId="167" fontId="0" fillId="0" borderId="0" xfId="0" applyNumberFormat="1"/>
    <xf numFmtId="167" fontId="6" fillId="0" borderId="0" xfId="0" applyNumberFormat="1" applyFont="1"/>
    <xf numFmtId="0" fontId="36" fillId="4" borderId="0" xfId="3" applyBorder="1"/>
    <xf numFmtId="0" fontId="6" fillId="0" borderId="14" xfId="0" applyFont="1" applyBorder="1" applyAlignment="1">
      <alignment horizontal="right"/>
    </xf>
    <xf numFmtId="167" fontId="4" fillId="6" borderId="2" xfId="4" applyNumberFormat="1" applyFont="1" applyFill="1" applyBorder="1" applyAlignment="1">
      <alignment horizontal="center"/>
    </xf>
    <xf numFmtId="167" fontId="5" fillId="6" borderId="1" xfId="4" applyNumberFormat="1" applyFont="1" applyFill="1" applyBorder="1" applyAlignment="1">
      <alignment horizontal="center"/>
    </xf>
    <xf numFmtId="167" fontId="4" fillId="10" borderId="15" xfId="4" applyNumberFormat="1" applyFont="1" applyFill="1" applyBorder="1" applyAlignment="1"/>
    <xf numFmtId="167" fontId="4" fillId="14" borderId="15" xfId="4" applyNumberFormat="1" applyFont="1" applyFill="1" applyBorder="1" applyAlignment="1"/>
    <xf numFmtId="167" fontId="9" fillId="0" borderId="0" xfId="4" applyNumberFormat="1" applyFont="1" applyFill="1" applyBorder="1" applyAlignment="1"/>
    <xf numFmtId="167" fontId="4" fillId="10" borderId="6" xfId="4" applyNumberFormat="1" applyFont="1" applyFill="1" applyBorder="1"/>
    <xf numFmtId="167" fontId="4" fillId="0" borderId="13" xfId="4" applyNumberFormat="1" applyFont="1" applyFill="1" applyBorder="1"/>
    <xf numFmtId="167" fontId="43" fillId="10" borderId="17" xfId="4" applyNumberFormat="1" applyFont="1" applyFill="1" applyBorder="1" applyAlignment="1"/>
    <xf numFmtId="167" fontId="42" fillId="6" borderId="7" xfId="4" applyNumberFormat="1" applyFont="1" applyFill="1" applyBorder="1" applyAlignment="1"/>
    <xf numFmtId="167" fontId="42" fillId="13" borderId="7" xfId="4" applyNumberFormat="1" applyFont="1" applyFill="1" applyBorder="1" applyAlignment="1"/>
    <xf numFmtId="167" fontId="41" fillId="6" borderId="8" xfId="4" applyNumberFormat="1" applyFont="1" applyFill="1" applyBorder="1" applyAlignment="1"/>
    <xf numFmtId="167" fontId="41" fillId="13" borderId="8" xfId="4" applyNumberFormat="1" applyFont="1" applyFill="1" applyBorder="1" applyAlignment="1"/>
    <xf numFmtId="167" fontId="48" fillId="10" borderId="12" xfId="4" applyNumberFormat="1" applyFont="1" applyFill="1" applyBorder="1" applyAlignment="1"/>
    <xf numFmtId="49" fontId="37" fillId="5" borderId="0" xfId="12" applyNumberFormat="1"/>
    <xf numFmtId="49" fontId="37" fillId="5" borderId="0" xfId="12" applyNumberFormat="1" applyAlignment="1">
      <alignment horizontal="center"/>
    </xf>
    <xf numFmtId="167" fontId="39" fillId="0" borderId="13" xfId="4" applyNumberFormat="1" applyFont="1" applyFill="1" applyBorder="1"/>
    <xf numFmtId="167" fontId="38" fillId="0" borderId="0" xfId="4" applyNumberFormat="1" applyFont="1" applyFill="1" applyBorder="1" applyAlignment="1">
      <alignment horizontal="centerContinuous"/>
    </xf>
    <xf numFmtId="167" fontId="4" fillId="12" borderId="13" xfId="4" applyNumberFormat="1" applyFont="1" applyFill="1" applyBorder="1" applyAlignment="1">
      <alignment horizontal="center"/>
    </xf>
    <xf numFmtId="167" fontId="38" fillId="0" borderId="11" xfId="4" applyNumberFormat="1" applyFont="1" applyFill="1" applyBorder="1" applyAlignment="1">
      <alignment horizontal="center"/>
    </xf>
    <xf numFmtId="167" fontId="5" fillId="6" borderId="15" xfId="4" applyNumberFormat="1" applyFont="1" applyFill="1" applyBorder="1" applyAlignment="1">
      <alignment horizontal="center"/>
    </xf>
    <xf numFmtId="167" fontId="38" fillId="0" borderId="13" xfId="4" applyNumberFormat="1" applyFont="1" applyFill="1" applyBorder="1" applyAlignment="1">
      <alignment horizontal="center"/>
    </xf>
    <xf numFmtId="167" fontId="38" fillId="0" borderId="13" xfId="4" applyNumberFormat="1" applyFont="1" applyFill="1" applyBorder="1"/>
    <xf numFmtId="167" fontId="4" fillId="14" borderId="11" xfId="4" applyNumberFormat="1" applyFont="1" applyFill="1" applyBorder="1"/>
    <xf numFmtId="167" fontId="49" fillId="0" borderId="11" xfId="4" applyNumberFormat="1" applyFont="1" applyFill="1" applyBorder="1" applyAlignment="1"/>
    <xf numFmtId="167" fontId="43" fillId="10" borderId="8" xfId="4" applyNumberFormat="1" applyFont="1" applyFill="1" applyBorder="1"/>
    <xf numFmtId="167" fontId="43" fillId="14" borderId="8" xfId="4" applyNumberFormat="1" applyFont="1" applyFill="1" applyBorder="1"/>
    <xf numFmtId="167" fontId="8" fillId="7" borderId="4" xfId="4" applyNumberFormat="1" applyFont="1" applyFill="1" applyBorder="1"/>
    <xf numFmtId="167" fontId="39" fillId="7" borderId="10" xfId="4" applyNumberFormat="1" applyFont="1" applyFill="1" applyBorder="1"/>
    <xf numFmtId="167" fontId="8" fillId="7" borderId="10" xfId="4" applyNumberFormat="1" applyFont="1" applyFill="1" applyBorder="1"/>
    <xf numFmtId="167" fontId="38" fillId="0" borderId="11" xfId="4" applyNumberFormat="1" applyFont="1" applyFill="1" applyBorder="1" applyAlignment="1">
      <alignment horizontal="centerContinuous"/>
    </xf>
    <xf numFmtId="167" fontId="4" fillId="13" borderId="0" xfId="4" applyNumberFormat="1" applyFont="1" applyFill="1" applyBorder="1" applyAlignment="1">
      <alignment horizontal="center"/>
    </xf>
    <xf numFmtId="167" fontId="5" fillId="6" borderId="2" xfId="4" applyNumberFormat="1" applyFont="1" applyFill="1" applyBorder="1" applyAlignment="1">
      <alignment horizontal="center"/>
    </xf>
    <xf numFmtId="167" fontId="38" fillId="0" borderId="0" xfId="4" applyNumberFormat="1" applyFont="1" applyFill="1" applyBorder="1" applyAlignment="1">
      <alignment horizontal="center"/>
    </xf>
    <xf numFmtId="167" fontId="5" fillId="13" borderId="0" xfId="4" applyNumberFormat="1" applyFont="1" applyFill="1" applyBorder="1" applyAlignment="1">
      <alignment horizontal="center"/>
    </xf>
    <xf numFmtId="167" fontId="24" fillId="6" borderId="6" xfId="4" applyNumberFormat="1" applyFont="1" applyFill="1" applyBorder="1"/>
    <xf numFmtId="167" fontId="4" fillId="10" borderId="4" xfId="4" applyNumberFormat="1" applyFont="1" applyFill="1" applyBorder="1" applyAlignment="1"/>
    <xf numFmtId="167" fontId="4" fillId="14" borderId="10" xfId="4" applyNumberFormat="1" applyFont="1" applyFill="1" applyBorder="1"/>
    <xf numFmtId="167" fontId="6" fillId="6" borderId="2" xfId="4" applyNumberFormat="1" applyFont="1" applyFill="1" applyBorder="1"/>
    <xf numFmtId="167" fontId="6" fillId="13" borderId="0" xfId="4" applyNumberFormat="1" applyFont="1" applyFill="1" applyBorder="1"/>
    <xf numFmtId="167" fontId="4" fillId="10" borderId="0" xfId="4" applyNumberFormat="1" applyFont="1" applyFill="1" applyBorder="1"/>
    <xf numFmtId="167" fontId="4" fillId="14" borderId="0" xfId="4" applyNumberFormat="1" applyFont="1" applyFill="1" applyBorder="1"/>
    <xf numFmtId="43" fontId="39" fillId="19" borderId="0" xfId="4" applyFont="1" applyFill="1" applyBorder="1"/>
    <xf numFmtId="0" fontId="0" fillId="0" borderId="14" xfId="0" applyBorder="1"/>
    <xf numFmtId="167" fontId="8" fillId="0" borderId="10" xfId="4" applyNumberFormat="1" applyFont="1" applyBorder="1"/>
    <xf numFmtId="167" fontId="39" fillId="0" borderId="23" xfId="4" applyNumberFormat="1" applyFont="1" applyFill="1" applyBorder="1"/>
    <xf numFmtId="167" fontId="10" fillId="11" borderId="24" xfId="4" applyNumberFormat="1" applyFont="1" applyFill="1" applyBorder="1"/>
    <xf numFmtId="167" fontId="10" fillId="15" borderId="25" xfId="4" applyNumberFormat="1" applyFont="1" applyFill="1" applyBorder="1"/>
    <xf numFmtId="167" fontId="38" fillId="0" borderId="23" xfId="4" applyNumberFormat="1" applyFont="1" applyFill="1" applyBorder="1"/>
    <xf numFmtId="165" fontId="39" fillId="0" borderId="26" xfId="0" applyNumberFormat="1" applyFont="1" applyBorder="1"/>
    <xf numFmtId="42" fontId="39" fillId="0" borderId="23" xfId="0" applyNumberFormat="1" applyFont="1" applyBorder="1"/>
    <xf numFmtId="49" fontId="4" fillId="8" borderId="24" xfId="0" applyNumberFormat="1" applyFont="1" applyFill="1" applyBorder="1" applyAlignment="1">
      <alignment horizontal="center"/>
    </xf>
    <xf numFmtId="49" fontId="4" fillId="12" borderId="23" xfId="0" applyNumberFormat="1" applyFont="1" applyFill="1" applyBorder="1" applyAlignment="1">
      <alignment horizontal="center"/>
    </xf>
    <xf numFmtId="0" fontId="5" fillId="0" borderId="14" xfId="0" applyFont="1" applyBorder="1"/>
    <xf numFmtId="167" fontId="9" fillId="0" borderId="10" xfId="4" applyNumberFormat="1" applyFont="1" applyBorder="1"/>
    <xf numFmtId="167" fontId="38" fillId="0" borderId="10" xfId="4" applyNumberFormat="1" applyFont="1" applyFill="1" applyBorder="1"/>
    <xf numFmtId="167" fontId="10" fillId="10" borderId="25" xfId="4" applyNumberFormat="1" applyFont="1" applyFill="1" applyBorder="1"/>
    <xf numFmtId="167" fontId="10" fillId="14" borderId="25" xfId="4" applyNumberFormat="1" applyFont="1" applyFill="1" applyBorder="1"/>
    <xf numFmtId="167" fontId="38" fillId="0" borderId="27" xfId="4" applyNumberFormat="1" applyFont="1" applyFill="1" applyBorder="1"/>
    <xf numFmtId="0" fontId="0" fillId="18" borderId="0" xfId="0" applyFill="1"/>
    <xf numFmtId="0" fontId="50" fillId="9" borderId="7" xfId="0" applyFont="1" applyFill="1" applyBorder="1" applyAlignment="1">
      <alignment horizontal="right"/>
    </xf>
    <xf numFmtId="164" fontId="5" fillId="0" borderId="0" xfId="0" applyNumberFormat="1" applyFont="1" applyAlignment="1">
      <alignment horizontal="center" wrapText="1"/>
    </xf>
    <xf numFmtId="167" fontId="14" fillId="13" borderId="11" xfId="4" applyNumberFormat="1" applyFont="1" applyFill="1" applyBorder="1"/>
    <xf numFmtId="0" fontId="50" fillId="0" borderId="0" xfId="0" applyFont="1"/>
    <xf numFmtId="167" fontId="16" fillId="13" borderId="28" xfId="4" applyNumberFormat="1" applyFont="1" applyFill="1" applyBorder="1"/>
    <xf numFmtId="0" fontId="4" fillId="9" borderId="16" xfId="0" applyFont="1" applyFill="1" applyBorder="1" applyAlignment="1">
      <alignment horizontal="right"/>
    </xf>
    <xf numFmtId="167" fontId="4" fillId="6" borderId="15" xfId="4" applyNumberFormat="1" applyFont="1" applyFill="1" applyBorder="1"/>
    <xf numFmtId="167" fontId="17" fillId="13" borderId="13" xfId="4" applyNumberFormat="1" applyFont="1" applyFill="1" applyBorder="1"/>
    <xf numFmtId="0" fontId="0" fillId="0" borderId="5" xfId="0" applyBorder="1"/>
    <xf numFmtId="0" fontId="6" fillId="0" borderId="0" xfId="0" applyFont="1" applyAlignment="1">
      <alignment horizontal="center" wrapText="1"/>
    </xf>
    <xf numFmtId="164" fontId="5" fillId="0" borderId="2" xfId="0" applyNumberFormat="1" applyFont="1" applyBorder="1" applyAlignment="1">
      <alignment horizontal="center"/>
    </xf>
    <xf numFmtId="0" fontId="4" fillId="8" borderId="27" xfId="0" applyFont="1" applyFill="1" applyBorder="1"/>
    <xf numFmtId="0" fontId="6" fillId="17" borderId="2" xfId="0" applyFont="1" applyFill="1" applyBorder="1"/>
    <xf numFmtId="0" fontId="0" fillId="0" borderId="2" xfId="0" applyBorder="1"/>
    <xf numFmtId="0" fontId="4" fillId="11" borderId="27" xfId="0" applyFont="1" applyFill="1" applyBorder="1" applyAlignment="1">
      <alignment horizontal="right"/>
    </xf>
    <xf numFmtId="0" fontId="50" fillId="17" borderId="2" xfId="0" applyFont="1" applyFill="1" applyBorder="1"/>
    <xf numFmtId="0" fontId="4" fillId="10" borderId="27" xfId="0" applyFont="1" applyFill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0" fillId="0" borderId="2" xfId="0" applyFont="1" applyBorder="1"/>
    <xf numFmtId="167" fontId="0" fillId="0" borderId="0" xfId="4" applyNumberFormat="1" applyFont="1" applyBorder="1"/>
    <xf numFmtId="0" fontId="0" fillId="7" borderId="8" xfId="0" applyFill="1" applyBorder="1"/>
    <xf numFmtId="0" fontId="51" fillId="0" borderId="2" xfId="0" applyFont="1" applyBorder="1"/>
    <xf numFmtId="0" fontId="50" fillId="18" borderId="2" xfId="0" applyFont="1" applyFill="1" applyBorder="1"/>
    <xf numFmtId="0" fontId="0" fillId="0" borderId="4" xfId="0" applyBorder="1"/>
    <xf numFmtId="49" fontId="34" fillId="0" borderId="0" xfId="16" applyNumberFormat="1" applyAlignment="1">
      <alignment horizontal="centerContinuous"/>
    </xf>
    <xf numFmtId="168" fontId="52" fillId="0" borderId="0" xfId="16" applyNumberFormat="1" applyFont="1"/>
    <xf numFmtId="169" fontId="52" fillId="0" borderId="0" xfId="16" applyNumberFormat="1" applyFont="1"/>
    <xf numFmtId="168" fontId="52" fillId="0" borderId="10" xfId="16" applyNumberFormat="1" applyFont="1" applyBorder="1"/>
    <xf numFmtId="169" fontId="52" fillId="0" borderId="10" xfId="16" applyNumberFormat="1" applyFont="1" applyBorder="1"/>
    <xf numFmtId="168" fontId="52" fillId="0" borderId="11" xfId="16" applyNumberFormat="1" applyFont="1" applyBorder="1"/>
    <xf numFmtId="169" fontId="52" fillId="0" borderId="11" xfId="16" applyNumberFormat="1" applyFont="1" applyBorder="1"/>
    <xf numFmtId="168" fontId="52" fillId="0" borderId="13" xfId="16" applyNumberFormat="1" applyFont="1" applyBorder="1"/>
    <xf numFmtId="169" fontId="52" fillId="0" borderId="13" xfId="16" applyNumberFormat="1" applyFont="1" applyBorder="1"/>
    <xf numFmtId="168" fontId="53" fillId="0" borderId="29" xfId="16" applyNumberFormat="1" applyFont="1" applyBorder="1"/>
    <xf numFmtId="169" fontId="53" fillId="0" borderId="29" xfId="16" applyNumberFormat="1" applyFont="1" applyBorder="1"/>
    <xf numFmtId="0" fontId="19" fillId="0" borderId="5" xfId="0" applyFont="1" applyBorder="1" applyAlignment="1">
      <alignment horizontal="center"/>
    </xf>
    <xf numFmtId="0" fontId="19" fillId="0" borderId="0" xfId="0" applyFont="1" applyAlignment="1">
      <alignment horizontal="center"/>
    </xf>
    <xf numFmtId="3" fontId="0" fillId="0" borderId="0" xfId="0" applyNumberFormat="1"/>
    <xf numFmtId="170" fontId="36" fillId="4" borderId="0" xfId="3" applyNumberFormat="1" applyBorder="1"/>
    <xf numFmtId="49" fontId="53" fillId="0" borderId="0" xfId="16" applyNumberFormat="1" applyFont="1"/>
    <xf numFmtId="170" fontId="52" fillId="0" borderId="0" xfId="16" applyNumberFormat="1" applyFont="1"/>
    <xf numFmtId="171" fontId="52" fillId="0" borderId="0" xfId="16" applyNumberFormat="1" applyFont="1"/>
    <xf numFmtId="170" fontId="52" fillId="0" borderId="10" xfId="16" applyNumberFormat="1" applyFont="1" applyBorder="1"/>
    <xf numFmtId="171" fontId="52" fillId="0" borderId="10" xfId="16" applyNumberFormat="1" applyFont="1" applyBorder="1"/>
    <xf numFmtId="170" fontId="52" fillId="0" borderId="11" xfId="16" applyNumberFormat="1" applyFont="1" applyBorder="1"/>
    <xf numFmtId="171" fontId="52" fillId="0" borderId="11" xfId="16" applyNumberFormat="1" applyFont="1" applyBorder="1"/>
    <xf numFmtId="170" fontId="52" fillId="0" borderId="13" xfId="16" applyNumberFormat="1" applyFont="1" applyBorder="1"/>
    <xf numFmtId="171" fontId="52" fillId="0" borderId="13" xfId="16" applyNumberFormat="1" applyFont="1" applyBorder="1"/>
    <xf numFmtId="170" fontId="53" fillId="0" borderId="29" xfId="16" applyNumberFormat="1" applyFont="1" applyBorder="1"/>
    <xf numFmtId="171" fontId="53" fillId="0" borderId="29" xfId="16" applyNumberFormat="1" applyFont="1" applyBorder="1"/>
    <xf numFmtId="49" fontId="53" fillId="0" borderId="0" xfId="16" applyNumberFormat="1" applyFont="1" applyAlignment="1">
      <alignment horizontal="center"/>
    </xf>
    <xf numFmtId="49" fontId="53" fillId="0" borderId="30" xfId="16" applyNumberFormat="1" applyFont="1" applyBorder="1" applyAlignment="1">
      <alignment horizontal="center"/>
    </xf>
    <xf numFmtId="0" fontId="6" fillId="0" borderId="5" xfId="0" applyFont="1" applyBorder="1"/>
    <xf numFmtId="0" fontId="6" fillId="17" borderId="5" xfId="0" applyFont="1" applyFill="1" applyBorder="1" applyAlignment="1">
      <alignment horizontal="right"/>
    </xf>
    <xf numFmtId="0" fontId="0" fillId="17" borderId="0" xfId="0" applyFill="1"/>
    <xf numFmtId="49" fontId="53" fillId="20" borderId="0" xfId="16" applyNumberFormat="1" applyFont="1" applyFill="1"/>
    <xf numFmtId="170" fontId="52" fillId="20" borderId="0" xfId="16" applyNumberFormat="1" applyFont="1" applyFill="1"/>
    <xf numFmtId="171" fontId="52" fillId="20" borderId="0" xfId="16" applyNumberFormat="1" applyFont="1" applyFill="1"/>
    <xf numFmtId="170" fontId="52" fillId="20" borderId="10" xfId="16" applyNumberFormat="1" applyFont="1" applyFill="1" applyBorder="1"/>
    <xf numFmtId="171" fontId="52" fillId="20" borderId="10" xfId="16" applyNumberFormat="1" applyFont="1" applyFill="1" applyBorder="1"/>
    <xf numFmtId="9" fontId="39" fillId="0" borderId="0" xfId="18" applyFont="1" applyFill="1" applyBorder="1"/>
    <xf numFmtId="167" fontId="49" fillId="0" borderId="0" xfId="4" applyNumberFormat="1" applyFont="1" applyFill="1" applyBorder="1" applyAlignment="1"/>
    <xf numFmtId="165" fontId="39" fillId="0" borderId="0" xfId="0" applyNumberFormat="1" applyFont="1"/>
    <xf numFmtId="0" fontId="0" fillId="20" borderId="7" xfId="0" applyFill="1" applyBorder="1" applyAlignment="1">
      <alignment horizontal="left"/>
    </xf>
    <xf numFmtId="44" fontId="29" fillId="20" borderId="2" xfId="9" applyFont="1" applyFill="1" applyBorder="1"/>
    <xf numFmtId="44" fontId="0" fillId="0" borderId="2" xfId="9" applyFont="1" applyBorder="1"/>
    <xf numFmtId="0" fontId="5" fillId="0" borderId="5" xfId="0" applyFont="1" applyBorder="1" applyAlignment="1">
      <alignment horizontal="center"/>
    </xf>
    <xf numFmtId="0" fontId="36" fillId="21" borderId="23" xfId="3" applyFill="1" applyBorder="1"/>
    <xf numFmtId="0" fontId="36" fillId="21" borderId="26" xfId="3" applyFill="1" applyBorder="1"/>
    <xf numFmtId="49" fontId="4" fillId="8" borderId="0" xfId="0" applyNumberFormat="1" applyFont="1" applyFill="1" applyAlignment="1">
      <alignment horizontal="center"/>
    </xf>
    <xf numFmtId="49" fontId="4" fillId="12" borderId="0" xfId="0" applyNumberFormat="1" applyFont="1" applyFill="1" applyAlignment="1">
      <alignment horizontal="center"/>
    </xf>
    <xf numFmtId="165" fontId="38" fillId="0" borderId="2" xfId="0" applyNumberFormat="1" applyFont="1" applyBorder="1" applyAlignment="1">
      <alignment horizontal="centerContinuous" wrapText="1"/>
    </xf>
    <xf numFmtId="164" fontId="5" fillId="0" borderId="2" xfId="0" applyNumberFormat="1" applyFont="1" applyBorder="1" applyAlignment="1">
      <alignment horizontal="center" wrapText="1"/>
    </xf>
    <xf numFmtId="0" fontId="6" fillId="17" borderId="2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6" fillId="22" borderId="0" xfId="0" applyFont="1" applyFill="1"/>
    <xf numFmtId="0" fontId="0" fillId="22" borderId="2" xfId="0" applyFill="1" applyBorder="1"/>
    <xf numFmtId="9" fontId="29" fillId="22" borderId="0" xfId="18" applyFont="1" applyFill="1" applyBorder="1"/>
    <xf numFmtId="44" fontId="0" fillId="22" borderId="2" xfId="0" applyNumberFormat="1" applyFill="1" applyBorder="1"/>
    <xf numFmtId="0" fontId="3" fillId="0" borderId="1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44" fontId="0" fillId="0" borderId="0" xfId="9" applyFont="1" applyBorder="1"/>
    <xf numFmtId="170" fontId="53" fillId="0" borderId="0" xfId="16" applyNumberFormat="1" applyFont="1"/>
    <xf numFmtId="171" fontId="53" fillId="0" borderId="0" xfId="16" applyNumberFormat="1" applyFont="1"/>
    <xf numFmtId="167" fontId="54" fillId="18" borderId="0" xfId="4" applyNumberFormat="1" applyFont="1" applyFill="1" applyBorder="1"/>
    <xf numFmtId="9" fontId="54" fillId="0" borderId="0" xfId="18" applyFont="1" applyFill="1" applyBorder="1"/>
    <xf numFmtId="167" fontId="54" fillId="0" borderId="0" xfId="4" applyNumberFormat="1" applyFont="1" applyFill="1" applyBorder="1"/>
    <xf numFmtId="165" fontId="54" fillId="0" borderId="2" xfId="0" applyNumberFormat="1" applyFont="1" applyBorder="1"/>
    <xf numFmtId="0" fontId="14" fillId="0" borderId="2" xfId="0" applyFont="1" applyBorder="1" applyAlignment="1">
      <alignment wrapText="1"/>
    </xf>
    <xf numFmtId="49" fontId="55" fillId="0" borderId="0" xfId="16" applyNumberFormat="1" applyFont="1"/>
    <xf numFmtId="49" fontId="55" fillId="20" borderId="0" xfId="16" applyNumberFormat="1" applyFont="1" applyFill="1"/>
    <xf numFmtId="170" fontId="56" fillId="20" borderId="13" xfId="16" applyNumberFormat="1" applyFont="1" applyFill="1" applyBorder="1"/>
    <xf numFmtId="171" fontId="56" fillId="20" borderId="13" xfId="16" applyNumberFormat="1" applyFont="1" applyFill="1" applyBorder="1"/>
    <xf numFmtId="167" fontId="14" fillId="0" borderId="0" xfId="4" applyNumberFormat="1" applyFont="1" applyBorder="1"/>
    <xf numFmtId="165" fontId="54" fillId="0" borderId="4" xfId="0" applyNumberFormat="1" applyFont="1" applyBorder="1"/>
    <xf numFmtId="170" fontId="56" fillId="20" borderId="0" xfId="16" applyNumberFormat="1" applyFont="1" applyFill="1"/>
    <xf numFmtId="171" fontId="56" fillId="20" borderId="0" xfId="16" applyNumberFormat="1" applyFont="1" applyFill="1"/>
    <xf numFmtId="167" fontId="57" fillId="17" borderId="0" xfId="4" applyNumberFormat="1" applyFont="1" applyFill="1" applyBorder="1"/>
    <xf numFmtId="9" fontId="57" fillId="0" borderId="0" xfId="18" applyFont="1" applyFill="1" applyBorder="1"/>
    <xf numFmtId="167" fontId="57" fillId="0" borderId="0" xfId="4" applyNumberFormat="1" applyFont="1" applyFill="1" applyBorder="1"/>
    <xf numFmtId="165" fontId="57" fillId="0" borderId="2" xfId="0" applyNumberFormat="1" applyFont="1" applyBorder="1"/>
    <xf numFmtId="49" fontId="58" fillId="0" borderId="0" xfId="16" applyNumberFormat="1" applyFont="1"/>
    <xf numFmtId="170" fontId="59" fillId="0" borderId="0" xfId="16" applyNumberFormat="1" applyFont="1"/>
    <xf numFmtId="171" fontId="59" fillId="0" borderId="0" xfId="16" applyNumberFormat="1" applyFont="1"/>
    <xf numFmtId="167" fontId="57" fillId="18" borderId="0" xfId="4" applyNumberFormat="1" applyFont="1" applyFill="1" applyBorder="1"/>
    <xf numFmtId="170" fontId="59" fillId="0" borderId="10" xfId="16" applyNumberFormat="1" applyFont="1" applyBorder="1"/>
    <xf numFmtId="171" fontId="59" fillId="0" borderId="10" xfId="16" applyNumberFormat="1" applyFont="1" applyBorder="1"/>
    <xf numFmtId="167" fontId="54" fillId="0" borderId="11" xfId="4" applyNumberFormat="1" applyFont="1" applyFill="1" applyBorder="1"/>
    <xf numFmtId="165" fontId="54" fillId="0" borderId="15" xfId="0" applyNumberFormat="1" applyFont="1" applyBorder="1"/>
    <xf numFmtId="0" fontId="4" fillId="0" borderId="5" xfId="0" applyFont="1" applyBorder="1" applyAlignment="1">
      <alignment horizontal="right"/>
    </xf>
    <xf numFmtId="43" fontId="54" fillId="19" borderId="0" xfId="4" applyFont="1" applyFill="1" applyBorder="1"/>
    <xf numFmtId="167" fontId="10" fillId="0" borderId="0" xfId="4" applyNumberFormat="1" applyFont="1" applyFill="1" applyBorder="1" applyAlignment="1"/>
    <xf numFmtId="165" fontId="60" fillId="0" borderId="0" xfId="0" applyNumberFormat="1" applyFont="1"/>
    <xf numFmtId="165" fontId="54" fillId="0" borderId="1" xfId="0" applyNumberFormat="1" applyFont="1" applyBorder="1"/>
    <xf numFmtId="0" fontId="61" fillId="0" borderId="0" xfId="0" applyFont="1"/>
    <xf numFmtId="167" fontId="60" fillId="0" borderId="13" xfId="4" applyNumberFormat="1" applyFont="1" applyFill="1" applyBorder="1"/>
    <xf numFmtId="0" fontId="14" fillId="0" borderId="5" xfId="0" applyFont="1" applyBorder="1"/>
    <xf numFmtId="170" fontId="56" fillId="0" borderId="0" xfId="16" applyNumberFormat="1" applyFont="1"/>
    <xf numFmtId="171" fontId="56" fillId="0" borderId="0" xfId="16" applyNumberFormat="1" applyFont="1"/>
    <xf numFmtId="0" fontId="4" fillId="0" borderId="16" xfId="0" applyFont="1" applyBorder="1" applyAlignment="1">
      <alignment horizontal="right" wrapText="1"/>
    </xf>
    <xf numFmtId="167" fontId="54" fillId="0" borderId="10" xfId="4" applyNumberFormat="1" applyFont="1" applyFill="1" applyBorder="1"/>
    <xf numFmtId="9" fontId="54" fillId="0" borderId="10" xfId="18" applyFont="1" applyFill="1" applyBorder="1"/>
    <xf numFmtId="167" fontId="54" fillId="0" borderId="13" xfId="4" applyNumberFormat="1" applyFont="1" applyFill="1" applyBorder="1"/>
    <xf numFmtId="0" fontId="14" fillId="0" borderId="4" xfId="0" applyFont="1" applyBorder="1" applyAlignment="1">
      <alignment horizontal="center" wrapText="1"/>
    </xf>
    <xf numFmtId="167" fontId="39" fillId="0" borderId="2" xfId="4" applyNumberFormat="1" applyFont="1" applyFill="1" applyBorder="1"/>
    <xf numFmtId="0" fontId="0" fillId="0" borderId="5" xfId="0" applyBorder="1" applyAlignment="1">
      <alignment horizontal="left"/>
    </xf>
    <xf numFmtId="167" fontId="14" fillId="0" borderId="10" xfId="4" applyNumberFormat="1" applyFont="1" applyBorder="1"/>
    <xf numFmtId="0" fontId="14" fillId="0" borderId="4" xfId="0" applyFont="1" applyBorder="1" applyAlignment="1">
      <alignment wrapText="1"/>
    </xf>
    <xf numFmtId="0" fontId="5" fillId="16" borderId="5" xfId="0" applyFont="1" applyFill="1" applyBorder="1" applyAlignment="1">
      <alignment horizontal="center"/>
    </xf>
    <xf numFmtId="167" fontId="39" fillId="16" borderId="0" xfId="4" applyNumberFormat="1" applyFont="1" applyFill="1" applyBorder="1"/>
    <xf numFmtId="9" fontId="39" fillId="16" borderId="0" xfId="18" applyFont="1" applyFill="1" applyBorder="1"/>
    <xf numFmtId="164" fontId="5" fillId="16" borderId="0" xfId="0" applyNumberFormat="1" applyFont="1" applyFill="1" applyAlignment="1">
      <alignment horizontal="center" wrapText="1"/>
    </xf>
    <xf numFmtId="164" fontId="5" fillId="16" borderId="0" xfId="0" applyNumberFormat="1" applyFont="1" applyFill="1" applyAlignment="1">
      <alignment horizontal="center"/>
    </xf>
    <xf numFmtId="167" fontId="49" fillId="16" borderId="0" xfId="4" applyNumberFormat="1" applyFont="1" applyFill="1" applyBorder="1" applyAlignment="1"/>
    <xf numFmtId="165" fontId="39" fillId="16" borderId="0" xfId="0" applyNumberFormat="1" applyFont="1" applyFill="1"/>
    <xf numFmtId="0" fontId="0" fillId="16" borderId="2" xfId="0" applyFill="1" applyBorder="1" applyAlignment="1">
      <alignment wrapText="1"/>
    </xf>
    <xf numFmtId="0" fontId="4" fillId="16" borderId="27" xfId="0" applyFont="1" applyFill="1" applyBorder="1"/>
    <xf numFmtId="42" fontId="39" fillId="16" borderId="23" xfId="0" applyNumberFormat="1" applyFont="1" applyFill="1" applyBorder="1"/>
    <xf numFmtId="49" fontId="4" fillId="16" borderId="24" xfId="0" applyNumberFormat="1" applyFont="1" applyFill="1" applyBorder="1" applyAlignment="1">
      <alignment horizontal="center"/>
    </xf>
    <xf numFmtId="49" fontId="4" fillId="16" borderId="23" xfId="0" applyNumberFormat="1" applyFont="1" applyFill="1" applyBorder="1" applyAlignment="1">
      <alignment horizontal="center"/>
    </xf>
    <xf numFmtId="0" fontId="34" fillId="16" borderId="31" xfId="16" applyFill="1" applyBorder="1"/>
    <xf numFmtId="0" fontId="0" fillId="16" borderId="0" xfId="0" applyFill="1"/>
    <xf numFmtId="167" fontId="34" fillId="16" borderId="20" xfId="4" applyNumberFormat="1" applyFont="1" applyFill="1" applyBorder="1"/>
    <xf numFmtId="165" fontId="39" fillId="16" borderId="2" xfId="0" applyNumberFormat="1" applyFont="1" applyFill="1" applyBorder="1"/>
    <xf numFmtId="0" fontId="6" fillId="16" borderId="2" xfId="0" applyFont="1" applyFill="1" applyBorder="1" applyAlignment="1">
      <alignment wrapText="1"/>
    </xf>
    <xf numFmtId="0" fontId="50" fillId="16" borderId="2" xfId="0" applyFont="1" applyFill="1" applyBorder="1" applyAlignment="1">
      <alignment wrapText="1"/>
    </xf>
    <xf numFmtId="0" fontId="4" fillId="16" borderId="16" xfId="0" applyFont="1" applyFill="1" applyBorder="1" applyAlignment="1">
      <alignment horizontal="right" wrapText="1"/>
    </xf>
    <xf numFmtId="167" fontId="54" fillId="16" borderId="0" xfId="4" applyNumberFormat="1" applyFont="1" applyFill="1" applyBorder="1"/>
    <xf numFmtId="9" fontId="54" fillId="16" borderId="0" xfId="18" applyFont="1" applyFill="1" applyBorder="1"/>
    <xf numFmtId="167" fontId="48" fillId="16" borderId="8" xfId="4" applyNumberFormat="1" applyFont="1" applyFill="1" applyBorder="1"/>
    <xf numFmtId="167" fontId="54" fillId="16" borderId="11" xfId="4" applyNumberFormat="1" applyFont="1" applyFill="1" applyBorder="1"/>
    <xf numFmtId="165" fontId="54" fillId="16" borderId="4" xfId="0" applyNumberFormat="1" applyFont="1" applyFill="1" applyBorder="1"/>
    <xf numFmtId="0" fontId="14" fillId="16" borderId="2" xfId="0" applyFont="1" applyFill="1" applyBorder="1" applyAlignment="1">
      <alignment wrapText="1"/>
    </xf>
    <xf numFmtId="0" fontId="5" fillId="16" borderId="5" xfId="0" applyFont="1" applyFill="1" applyBorder="1" applyAlignment="1">
      <alignment horizontal="right"/>
    </xf>
    <xf numFmtId="0" fontId="50" fillId="16" borderId="8" xfId="0" applyFont="1" applyFill="1" applyBorder="1" applyAlignment="1">
      <alignment horizontal="right"/>
    </xf>
    <xf numFmtId="167" fontId="39" fillId="16" borderId="10" xfId="4" applyNumberFormat="1" applyFont="1" applyFill="1" applyBorder="1"/>
    <xf numFmtId="9" fontId="39" fillId="16" borderId="10" xfId="18" applyFont="1" applyFill="1" applyBorder="1"/>
    <xf numFmtId="167" fontId="14" fillId="16" borderId="8" xfId="4" applyNumberFormat="1" applyFont="1" applyFill="1" applyBorder="1"/>
    <xf numFmtId="167" fontId="14" fillId="16" borderId="10" xfId="4" applyNumberFormat="1" applyFont="1" applyFill="1" applyBorder="1"/>
    <xf numFmtId="165" fontId="39" fillId="16" borderId="4" xfId="0" applyNumberFormat="1" applyFont="1" applyFill="1" applyBorder="1"/>
    <xf numFmtId="0" fontId="6" fillId="16" borderId="4" xfId="0" applyFont="1" applyFill="1" applyBorder="1" applyAlignment="1">
      <alignment wrapText="1"/>
    </xf>
    <xf numFmtId="0" fontId="0" fillId="16" borderId="8" xfId="0" applyFill="1" applyBorder="1"/>
    <xf numFmtId="167" fontId="8" fillId="16" borderId="4" xfId="4" applyNumberFormat="1" applyFont="1" applyFill="1" applyBorder="1"/>
    <xf numFmtId="167" fontId="8" fillId="16" borderId="10" xfId="4" applyNumberFormat="1" applyFont="1" applyFill="1" applyBorder="1"/>
    <xf numFmtId="0" fontId="4" fillId="16" borderId="6" xfId="0" applyFont="1" applyFill="1" applyBorder="1"/>
    <xf numFmtId="167" fontId="4" fillId="16" borderId="2" xfId="4" applyNumberFormat="1" applyFont="1" applyFill="1" applyBorder="1" applyAlignment="1">
      <alignment horizontal="center"/>
    </xf>
    <xf numFmtId="167" fontId="4" fillId="16" borderId="0" xfId="4" applyNumberFormat="1" applyFont="1" applyFill="1" applyBorder="1" applyAlignment="1">
      <alignment horizontal="center"/>
    </xf>
    <xf numFmtId="167" fontId="38" fillId="16" borderId="11" xfId="4" applyNumberFormat="1" applyFont="1" applyFill="1" applyBorder="1" applyAlignment="1">
      <alignment horizontal="centerContinuous"/>
    </xf>
    <xf numFmtId="165" fontId="38" fillId="16" borderId="1" xfId="0" applyNumberFormat="1" applyFont="1" applyFill="1" applyBorder="1" applyAlignment="1">
      <alignment horizontal="centerContinuous"/>
    </xf>
    <xf numFmtId="0" fontId="4" fillId="16" borderId="7" xfId="0" applyFont="1" applyFill="1" applyBorder="1"/>
    <xf numFmtId="167" fontId="5" fillId="16" borderId="2" xfId="4" applyNumberFormat="1" applyFont="1" applyFill="1" applyBorder="1" applyAlignment="1">
      <alignment horizontal="center"/>
    </xf>
    <xf numFmtId="167" fontId="5" fillId="16" borderId="0" xfId="4" applyNumberFormat="1" applyFont="1" applyFill="1" applyBorder="1" applyAlignment="1">
      <alignment horizontal="center"/>
    </xf>
    <xf numFmtId="167" fontId="38" fillId="16" borderId="0" xfId="4" applyNumberFormat="1" applyFont="1" applyFill="1" applyBorder="1" applyAlignment="1">
      <alignment horizontal="center"/>
    </xf>
    <xf numFmtId="165" fontId="38" fillId="16" borderId="2" xfId="0" applyNumberFormat="1" applyFont="1" applyFill="1" applyBorder="1" applyAlignment="1">
      <alignment horizontal="center"/>
    </xf>
    <xf numFmtId="167" fontId="24" fillId="16" borderId="6" xfId="4" applyNumberFormat="1" applyFont="1" applyFill="1" applyBorder="1"/>
    <xf numFmtId="167" fontId="14" fillId="16" borderId="11" xfId="4" applyNumberFormat="1" applyFont="1" applyFill="1" applyBorder="1"/>
    <xf numFmtId="165" fontId="39" fillId="16" borderId="1" xfId="0" applyNumberFormat="1" applyFont="1" applyFill="1" applyBorder="1"/>
    <xf numFmtId="167" fontId="8" fillId="16" borderId="7" xfId="4" applyNumberFormat="1" applyFont="1" applyFill="1" applyBorder="1"/>
    <xf numFmtId="167" fontId="8" fillId="16" borderId="0" xfId="4" applyNumberFormat="1" applyFont="1" applyFill="1" applyBorder="1"/>
    <xf numFmtId="167" fontId="14" fillId="16" borderId="7" xfId="4" applyNumberFormat="1" applyFont="1" applyFill="1" applyBorder="1"/>
    <xf numFmtId="167" fontId="14" fillId="16" borderId="0" xfId="4" applyNumberFormat="1" applyFont="1" applyFill="1" applyBorder="1"/>
    <xf numFmtId="167" fontId="47" fillId="16" borderId="0" xfId="4" applyNumberFormat="1" applyFont="1" applyFill="1" applyBorder="1"/>
    <xf numFmtId="165" fontId="39" fillId="16" borderId="19" xfId="0" applyNumberFormat="1" applyFont="1" applyFill="1" applyBorder="1"/>
    <xf numFmtId="0" fontId="51" fillId="16" borderId="2" xfId="0" applyFont="1" applyFill="1" applyBorder="1" applyAlignment="1">
      <alignment wrapText="1"/>
    </xf>
    <xf numFmtId="0" fontId="4" fillId="16" borderId="27" xfId="0" applyFont="1" applyFill="1" applyBorder="1" applyAlignment="1">
      <alignment horizontal="right"/>
    </xf>
    <xf numFmtId="167" fontId="4" fillId="16" borderId="4" xfId="4" applyNumberFormat="1" applyFont="1" applyFill="1" applyBorder="1" applyAlignment="1"/>
    <xf numFmtId="167" fontId="4" fillId="16" borderId="10" xfId="4" applyNumberFormat="1" applyFont="1" applyFill="1" applyBorder="1"/>
    <xf numFmtId="167" fontId="39" fillId="16" borderId="11" xfId="4" applyNumberFormat="1" applyFont="1" applyFill="1" applyBorder="1"/>
    <xf numFmtId="0" fontId="4" fillId="16" borderId="7" xfId="0" applyFont="1" applyFill="1" applyBorder="1" applyAlignment="1">
      <alignment horizontal="right"/>
    </xf>
    <xf numFmtId="167" fontId="4" fillId="16" borderId="2" xfId="4" applyNumberFormat="1" applyFont="1" applyFill="1" applyBorder="1" applyAlignment="1"/>
    <xf numFmtId="167" fontId="4" fillId="16" borderId="0" xfId="4" applyNumberFormat="1" applyFont="1" applyFill="1" applyBorder="1"/>
    <xf numFmtId="0" fontId="4" fillId="16" borderId="14" xfId="0" applyFont="1" applyFill="1" applyBorder="1"/>
    <xf numFmtId="167" fontId="6" fillId="16" borderId="2" xfId="4" applyNumberFormat="1" applyFont="1" applyFill="1" applyBorder="1"/>
    <xf numFmtId="167" fontId="6" fillId="16" borderId="0" xfId="4" applyNumberFormat="1" applyFont="1" applyFill="1" applyBorder="1"/>
    <xf numFmtId="0" fontId="6" fillId="16" borderId="7" xfId="0" applyFont="1" applyFill="1" applyBorder="1" applyAlignment="1">
      <alignment horizontal="right"/>
    </xf>
    <xf numFmtId="0" fontId="4" fillId="16" borderId="16" xfId="0" applyFont="1" applyFill="1" applyBorder="1" applyAlignment="1">
      <alignment horizontal="right"/>
    </xf>
    <xf numFmtId="167" fontId="39" fillId="16" borderId="13" xfId="4" applyNumberFormat="1" applyFont="1" applyFill="1" applyBorder="1"/>
    <xf numFmtId="167" fontId="4" fillId="16" borderId="15" xfId="4" applyNumberFormat="1" applyFont="1" applyFill="1" applyBorder="1"/>
    <xf numFmtId="167" fontId="17" fillId="16" borderId="13" xfId="4" applyNumberFormat="1" applyFont="1" applyFill="1" applyBorder="1"/>
    <xf numFmtId="165" fontId="39" fillId="16" borderId="15" xfId="0" applyNumberFormat="1" applyFont="1" applyFill="1" applyBorder="1"/>
    <xf numFmtId="167" fontId="47" fillId="0" borderId="2" xfId="4" applyNumberFormat="1" applyFont="1" applyFill="1" applyBorder="1"/>
    <xf numFmtId="0" fontId="5" fillId="8" borderId="5" xfId="0" applyFont="1" applyFill="1" applyBorder="1" applyAlignment="1">
      <alignment horizontal="right"/>
    </xf>
    <xf numFmtId="166" fontId="29" fillId="20" borderId="2" xfId="9" applyNumberFormat="1" applyFont="1" applyFill="1" applyBorder="1"/>
    <xf numFmtId="49" fontId="4" fillId="0" borderId="23" xfId="0" applyNumberFormat="1" applyFont="1" applyBorder="1" applyAlignment="1">
      <alignment horizontal="center"/>
    </xf>
    <xf numFmtId="167" fontId="8" fillId="0" borderId="7" xfId="4" applyNumberFormat="1" applyFont="1" applyFill="1" applyBorder="1"/>
    <xf numFmtId="167" fontId="8" fillId="0" borderId="0" xfId="4" applyNumberFormat="1" applyFont="1" applyFill="1" applyBorder="1"/>
    <xf numFmtId="0" fontId="4" fillId="0" borderId="27" xfId="0" applyFont="1" applyBorder="1" applyAlignment="1">
      <alignment horizontal="right"/>
    </xf>
    <xf numFmtId="167" fontId="10" fillId="0" borderId="24" xfId="4" applyNumberFormat="1" applyFont="1" applyFill="1" applyBorder="1"/>
    <xf numFmtId="167" fontId="10" fillId="0" borderId="25" xfId="4" applyNumberFormat="1" applyFont="1" applyFill="1" applyBorder="1"/>
    <xf numFmtId="167" fontId="8" fillId="0" borderId="10" xfId="4" applyNumberFormat="1" applyFont="1" applyFill="1" applyBorder="1"/>
    <xf numFmtId="0" fontId="4" fillId="0" borderId="14" xfId="0" applyFont="1" applyBorder="1"/>
    <xf numFmtId="167" fontId="4" fillId="0" borderId="2" xfId="4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5" fillId="0" borderId="1" xfId="4" applyNumberFormat="1" applyFont="1" applyFill="1" applyBorder="1" applyAlignment="1">
      <alignment horizontal="center"/>
    </xf>
    <xf numFmtId="167" fontId="5" fillId="0" borderId="15" xfId="4" applyNumberFormat="1" applyFont="1" applyFill="1" applyBorder="1" applyAlignment="1">
      <alignment horizontal="center"/>
    </xf>
    <xf numFmtId="167" fontId="8" fillId="0" borderId="13" xfId="4" applyNumberFormat="1" applyFont="1" applyFill="1" applyBorder="1"/>
    <xf numFmtId="167" fontId="8" fillId="0" borderId="2" xfId="4" applyNumberFormat="1" applyFont="1" applyFill="1" applyBorder="1"/>
    <xf numFmtId="0" fontId="6" fillId="0" borderId="7" xfId="0" applyFont="1" applyBorder="1" applyAlignment="1">
      <alignment horizontal="right"/>
    </xf>
    <xf numFmtId="167" fontId="20" fillId="0" borderId="2" xfId="4" applyNumberFormat="1" applyFont="1" applyFill="1" applyBorder="1"/>
    <xf numFmtId="43" fontId="39" fillId="0" borderId="0" xfId="4" applyFont="1" applyFill="1" applyBorder="1"/>
    <xf numFmtId="167" fontId="9" fillId="0" borderId="10" xfId="4" applyNumberFormat="1" applyFont="1" applyFill="1" applyBorder="1"/>
    <xf numFmtId="0" fontId="5" fillId="0" borderId="7" xfId="0" applyFont="1" applyBorder="1" applyAlignment="1">
      <alignment horizontal="center"/>
    </xf>
    <xf numFmtId="167" fontId="8" fillId="0" borderId="8" xfId="4" applyNumberFormat="1" applyFont="1" applyFill="1" applyBorder="1"/>
    <xf numFmtId="0" fontId="4" fillId="0" borderId="16" xfId="0" applyFont="1" applyBorder="1" applyAlignment="1">
      <alignment horizontal="right"/>
    </xf>
    <xf numFmtId="167" fontId="4" fillId="0" borderId="15" xfId="4" applyNumberFormat="1" applyFont="1" applyFill="1" applyBorder="1" applyAlignment="1"/>
    <xf numFmtId="43" fontId="54" fillId="0" borderId="0" xfId="4" applyFont="1" applyFill="1" applyBorder="1"/>
    <xf numFmtId="0" fontId="4" fillId="0" borderId="6" xfId="0" applyFont="1" applyBorder="1" applyAlignment="1">
      <alignment horizontal="right"/>
    </xf>
    <xf numFmtId="167" fontId="4" fillId="0" borderId="6" xfId="4" applyNumberFormat="1" applyFont="1" applyFill="1" applyBorder="1"/>
    <xf numFmtId="167" fontId="4" fillId="0" borderId="11" xfId="4" applyNumberFormat="1" applyFont="1" applyFill="1" applyBorder="1"/>
    <xf numFmtId="167" fontId="42" fillId="0" borderId="7" xfId="4" applyNumberFormat="1" applyFont="1" applyFill="1" applyBorder="1" applyAlignment="1"/>
    <xf numFmtId="167" fontId="14" fillId="0" borderId="0" xfId="4" applyNumberFormat="1" applyFont="1" applyFill="1" applyBorder="1"/>
    <xf numFmtId="167" fontId="41" fillId="0" borderId="8" xfId="4" applyNumberFormat="1" applyFont="1" applyFill="1" applyBorder="1" applyAlignment="1"/>
    <xf numFmtId="167" fontId="48" fillId="0" borderId="12" xfId="4" applyNumberFormat="1" applyFont="1" applyFill="1" applyBorder="1" applyAlignment="1"/>
    <xf numFmtId="167" fontId="14" fillId="0" borderId="10" xfId="4" applyNumberFormat="1" applyFont="1" applyFill="1" applyBorder="1"/>
    <xf numFmtId="167" fontId="4" fillId="0" borderId="2" xfId="4" applyNumberFormat="1" applyFont="1" applyFill="1" applyBorder="1" applyAlignment="1"/>
    <xf numFmtId="167" fontId="6" fillId="0" borderId="2" xfId="4" applyNumberFormat="1" applyFont="1" applyFill="1" applyBorder="1"/>
    <xf numFmtId="167" fontId="4" fillId="0" borderId="15" xfId="4" applyNumberFormat="1" applyFont="1" applyFill="1" applyBorder="1"/>
    <xf numFmtId="167" fontId="17" fillId="0" borderId="13" xfId="4" applyNumberFormat="1" applyFont="1" applyFill="1" applyBorder="1"/>
    <xf numFmtId="3" fontId="6" fillId="0" borderId="0" xfId="0" applyNumberFormat="1" applyFont="1"/>
    <xf numFmtId="0" fontId="31" fillId="0" borderId="0" xfId="0" applyFont="1" applyAlignment="1">
      <alignment horizontal="centerContinuous"/>
    </xf>
    <xf numFmtId="165" fontId="31" fillId="0" borderId="2" xfId="0" applyNumberFormat="1" applyFont="1" applyBorder="1" applyAlignment="1">
      <alignment horizontal="centerContinuous" wrapText="1"/>
    </xf>
    <xf numFmtId="0" fontId="31" fillId="0" borderId="0" xfId="0" applyFont="1" applyAlignment="1">
      <alignment horizontal="center"/>
    </xf>
    <xf numFmtId="165" fontId="31" fillId="0" borderId="0" xfId="0" applyNumberFormat="1" applyFont="1" applyAlignment="1">
      <alignment horizontal="center"/>
    </xf>
    <xf numFmtId="0" fontId="62" fillId="0" borderId="23" xfId="3" applyFont="1" applyFill="1" applyBorder="1"/>
    <xf numFmtId="0" fontId="62" fillId="0" borderId="26" xfId="3" applyFont="1" applyFill="1" applyBorder="1"/>
    <xf numFmtId="167" fontId="12" fillId="0" borderId="0" xfId="4" applyNumberFormat="1" applyFont="1" applyFill="1" applyBorder="1"/>
    <xf numFmtId="9" fontId="12" fillId="0" borderId="0" xfId="18" applyFont="1" applyFill="1" applyBorder="1"/>
    <xf numFmtId="167" fontId="6" fillId="0" borderId="7" xfId="4" applyNumberFormat="1" applyFont="1" applyFill="1" applyBorder="1"/>
    <xf numFmtId="165" fontId="12" fillId="0" borderId="2" xfId="0" applyNumberFormat="1" applyFont="1" applyBorder="1"/>
    <xf numFmtId="167" fontId="32" fillId="0" borderId="23" xfId="4" applyNumberFormat="1" applyFont="1" applyFill="1" applyBorder="1"/>
    <xf numFmtId="9" fontId="32" fillId="0" borderId="0" xfId="18" applyFont="1" applyFill="1" applyBorder="1"/>
    <xf numFmtId="167" fontId="4" fillId="0" borderId="24" xfId="4" applyNumberFormat="1" applyFont="1" applyFill="1" applyBorder="1"/>
    <xf numFmtId="167" fontId="4" fillId="0" borderId="25" xfId="4" applyNumberFormat="1" applyFont="1" applyFill="1" applyBorder="1"/>
    <xf numFmtId="167" fontId="31" fillId="0" borderId="23" xfId="4" applyNumberFormat="1" applyFont="1" applyFill="1" applyBorder="1"/>
    <xf numFmtId="165" fontId="32" fillId="0" borderId="26" xfId="0" applyNumberFormat="1" applyFont="1" applyBorder="1"/>
    <xf numFmtId="0" fontId="6" fillId="0" borderId="14" xfId="0" applyFont="1" applyBorder="1"/>
    <xf numFmtId="167" fontId="32" fillId="0" borderId="0" xfId="4" applyNumberFormat="1" applyFont="1" applyFill="1" applyBorder="1"/>
    <xf numFmtId="167" fontId="6" fillId="0" borderId="10" xfId="4" applyNumberFormat="1" applyFont="1" applyFill="1" applyBorder="1"/>
    <xf numFmtId="167" fontId="32" fillId="0" borderId="10" xfId="4" applyNumberFormat="1" applyFont="1" applyFill="1" applyBorder="1"/>
    <xf numFmtId="165" fontId="32" fillId="0" borderId="4" xfId="0" applyNumberFormat="1" applyFont="1" applyBorder="1"/>
    <xf numFmtId="167" fontId="31" fillId="0" borderId="0" xfId="4" applyNumberFormat="1" applyFont="1" applyFill="1" applyBorder="1" applyAlignment="1">
      <alignment horizontal="centerContinuous"/>
    </xf>
    <xf numFmtId="165" fontId="31" fillId="0" borderId="2" xfId="0" applyNumberFormat="1" applyFont="1" applyBorder="1" applyAlignment="1">
      <alignment horizontal="centerContinuous"/>
    </xf>
    <xf numFmtId="167" fontId="31" fillId="0" borderId="11" xfId="4" applyNumberFormat="1" applyFont="1" applyFill="1" applyBorder="1" applyAlignment="1">
      <alignment horizontal="center"/>
    </xf>
    <xf numFmtId="165" fontId="31" fillId="0" borderId="1" xfId="0" applyNumberFormat="1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167" fontId="32" fillId="0" borderId="13" xfId="4" applyNumberFormat="1" applyFont="1" applyFill="1" applyBorder="1"/>
    <xf numFmtId="167" fontId="31" fillId="0" borderId="13" xfId="4" applyNumberFormat="1" applyFont="1" applyFill="1" applyBorder="1" applyAlignment="1">
      <alignment horizontal="center"/>
    </xf>
    <xf numFmtId="165" fontId="31" fillId="0" borderId="15" xfId="0" applyNumberFormat="1" applyFont="1" applyBorder="1" applyAlignment="1">
      <alignment horizontal="center"/>
    </xf>
    <xf numFmtId="165" fontId="32" fillId="0" borderId="2" xfId="0" applyNumberFormat="1" applyFont="1" applyBorder="1"/>
    <xf numFmtId="43" fontId="32" fillId="0" borderId="0" xfId="4" applyFont="1" applyFill="1" applyBorder="1"/>
    <xf numFmtId="167" fontId="5" fillId="0" borderId="10" xfId="4" applyNumberFormat="1" applyFont="1" applyFill="1" applyBorder="1"/>
    <xf numFmtId="167" fontId="31" fillId="0" borderId="10" xfId="4" applyNumberFormat="1" applyFont="1" applyFill="1" applyBorder="1"/>
    <xf numFmtId="167" fontId="17" fillId="0" borderId="0" xfId="4" applyNumberFormat="1" applyFont="1" applyFill="1" applyBorder="1"/>
    <xf numFmtId="9" fontId="17" fillId="0" borderId="0" xfId="18" applyFont="1" applyFill="1" applyBorder="1"/>
    <xf numFmtId="167" fontId="17" fillId="0" borderId="11" xfId="4" applyNumberFormat="1" applyFont="1" applyFill="1" applyBorder="1"/>
    <xf numFmtId="165" fontId="17" fillId="0" borderId="15" xfId="0" applyNumberFormat="1" applyFont="1" applyBorder="1"/>
    <xf numFmtId="43" fontId="17" fillId="0" borderId="0" xfId="4" applyFont="1" applyFill="1" applyBorder="1"/>
    <xf numFmtId="167" fontId="4" fillId="0" borderId="0" xfId="4" applyNumberFormat="1" applyFont="1" applyFill="1" applyBorder="1" applyAlignment="1"/>
    <xf numFmtId="165" fontId="15" fillId="0" borderId="0" xfId="0" applyNumberFormat="1" applyFont="1"/>
    <xf numFmtId="165" fontId="17" fillId="0" borderId="1" xfId="0" applyNumberFormat="1" applyFont="1" applyBorder="1"/>
    <xf numFmtId="167" fontId="15" fillId="0" borderId="13" xfId="4" applyNumberFormat="1" applyFont="1" applyFill="1" applyBorder="1"/>
    <xf numFmtId="167" fontId="4" fillId="0" borderId="7" xfId="4" applyNumberFormat="1" applyFont="1" applyFill="1" applyBorder="1" applyAlignment="1"/>
    <xf numFmtId="165" fontId="17" fillId="0" borderId="2" xfId="0" applyNumberFormat="1" applyFont="1" applyBorder="1"/>
    <xf numFmtId="0" fontId="4" fillId="0" borderId="14" xfId="0" applyFont="1" applyBorder="1" applyAlignment="1">
      <alignment horizontal="right" wrapText="1"/>
    </xf>
    <xf numFmtId="167" fontId="4" fillId="0" borderId="8" xfId="4" applyNumberFormat="1" applyFont="1" applyFill="1" applyBorder="1" applyAlignment="1"/>
    <xf numFmtId="165" fontId="17" fillId="0" borderId="4" xfId="0" applyNumberFormat="1" applyFont="1" applyBorder="1"/>
    <xf numFmtId="167" fontId="17" fillId="0" borderId="10" xfId="4" applyNumberFormat="1" applyFont="1" applyFill="1" applyBorder="1"/>
    <xf numFmtId="9" fontId="17" fillId="0" borderId="10" xfId="18" applyFont="1" applyFill="1" applyBorder="1"/>
    <xf numFmtId="167" fontId="4" fillId="0" borderId="12" xfId="4" applyNumberFormat="1" applyFont="1" applyFill="1" applyBorder="1" applyAlignment="1"/>
    <xf numFmtId="0" fontId="6" fillId="0" borderId="0" xfId="0" applyFont="1" applyAlignment="1">
      <alignment wrapText="1"/>
    </xf>
    <xf numFmtId="167" fontId="32" fillId="0" borderId="2" xfId="4" applyNumberFormat="1" applyFont="1" applyFill="1" applyBorder="1"/>
    <xf numFmtId="0" fontId="6" fillId="0" borderId="2" xfId="0" applyFont="1" applyBorder="1"/>
    <xf numFmtId="44" fontId="6" fillId="0" borderId="2" xfId="9" applyFont="1" applyFill="1" applyBorder="1"/>
    <xf numFmtId="9" fontId="6" fillId="0" borderId="0" xfId="18" applyFont="1" applyFill="1" applyBorder="1"/>
    <xf numFmtId="44" fontId="6" fillId="0" borderId="2" xfId="0" applyNumberFormat="1" applyFont="1" applyBorder="1"/>
    <xf numFmtId="44" fontId="6" fillId="0" borderId="0" xfId="9" applyFont="1" applyFill="1" applyBorder="1"/>
    <xf numFmtId="0" fontId="6" fillId="0" borderId="5" xfId="0" applyFont="1" applyBorder="1" applyAlignment="1">
      <alignment horizontal="left"/>
    </xf>
    <xf numFmtId="44" fontId="6" fillId="0" borderId="0" xfId="0" applyNumberFormat="1" applyFont="1"/>
    <xf numFmtId="9" fontId="32" fillId="0" borderId="10" xfId="18" applyFont="1" applyFill="1" applyBorder="1"/>
    <xf numFmtId="167" fontId="6" fillId="0" borderId="4" xfId="4" applyNumberFormat="1" applyFont="1" applyFill="1" applyBorder="1"/>
    <xf numFmtId="0" fontId="5" fillId="0" borderId="17" xfId="0" applyFont="1" applyBorder="1" applyAlignment="1">
      <alignment horizontal="right"/>
    </xf>
    <xf numFmtId="9" fontId="17" fillId="0" borderId="11" xfId="18" applyFont="1" applyFill="1" applyBorder="1"/>
    <xf numFmtId="167" fontId="17" fillId="0" borderId="17" xfId="4" applyNumberFormat="1" applyFont="1" applyFill="1" applyBorder="1"/>
    <xf numFmtId="167" fontId="14" fillId="0" borderId="6" xfId="4" applyNumberFormat="1" applyFont="1" applyFill="1" applyBorder="1"/>
    <xf numFmtId="167" fontId="4" fillId="0" borderId="1" xfId="4" applyNumberFormat="1" applyFont="1" applyFill="1" applyBorder="1"/>
    <xf numFmtId="167" fontId="4" fillId="0" borderId="16" xfId="4" applyNumberFormat="1" applyFont="1" applyFill="1" applyBorder="1" applyAlignment="1"/>
    <xf numFmtId="0" fontId="6" fillId="0" borderId="11" xfId="0" applyFont="1" applyBorder="1"/>
    <xf numFmtId="167" fontId="4" fillId="0" borderId="15" xfId="4" applyNumberFormat="1" applyFont="1" applyFill="1" applyBorder="1" applyAlignment="1">
      <alignment horizontal="center"/>
    </xf>
    <xf numFmtId="0" fontId="4" fillId="0" borderId="32" xfId="0" applyFont="1" applyBorder="1"/>
    <xf numFmtId="42" fontId="32" fillId="0" borderId="11" xfId="0" applyNumberFormat="1" applyFont="1" applyBorder="1"/>
    <xf numFmtId="49" fontId="4" fillId="0" borderId="11" xfId="0" applyNumberFormat="1" applyFont="1" applyBorder="1" applyAlignment="1">
      <alignment horizontal="center"/>
    </xf>
    <xf numFmtId="0" fontId="4" fillId="0" borderId="33" xfId="0" applyFont="1" applyBorder="1" applyAlignment="1">
      <alignment horizontal="right"/>
    </xf>
    <xf numFmtId="167" fontId="32" fillId="0" borderId="34" xfId="4" applyNumberFormat="1" applyFont="1" applyFill="1" applyBorder="1"/>
    <xf numFmtId="167" fontId="4" fillId="0" borderId="35" xfId="4" applyNumberFormat="1" applyFont="1" applyFill="1" applyBorder="1"/>
    <xf numFmtId="0" fontId="4" fillId="0" borderId="12" xfId="0" applyFont="1" applyBorder="1"/>
    <xf numFmtId="9" fontId="32" fillId="0" borderId="13" xfId="18" applyFont="1" applyFill="1" applyBorder="1"/>
    <xf numFmtId="167" fontId="5" fillId="0" borderId="2" xfId="4" applyNumberFormat="1" applyFont="1" applyFill="1" applyBorder="1" applyAlignment="1">
      <alignment horizontal="right"/>
    </xf>
    <xf numFmtId="167" fontId="50" fillId="6" borderId="7" xfId="4" applyNumberFormat="1" applyFont="1" applyFill="1" applyBorder="1"/>
    <xf numFmtId="0" fontId="50" fillId="0" borderId="0" xfId="0" applyFont="1" applyAlignment="1">
      <alignment horizontal="center"/>
    </xf>
    <xf numFmtId="166" fontId="50" fillId="20" borderId="2" xfId="9" applyNumberFormat="1" applyFont="1" applyFill="1" applyBorder="1"/>
    <xf numFmtId="0" fontId="0" fillId="0" borderId="10" xfId="0" applyBorder="1"/>
    <xf numFmtId="0" fontId="0" fillId="0" borderId="4" xfId="0" applyBorder="1" applyAlignment="1">
      <alignment wrapText="1"/>
    </xf>
    <xf numFmtId="0" fontId="4" fillId="0" borderId="1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50" fillId="0" borderId="5" xfId="0" applyFont="1" applyBorder="1" applyAlignment="1">
      <alignment horizontal="right"/>
    </xf>
    <xf numFmtId="49" fontId="36" fillId="4" borderId="0" xfId="3" applyNumberFormat="1"/>
    <xf numFmtId="170" fontId="36" fillId="4" borderId="0" xfId="3" applyNumberFormat="1"/>
    <xf numFmtId="171" fontId="36" fillId="4" borderId="0" xfId="3" applyNumberFormat="1"/>
    <xf numFmtId="49" fontId="4" fillId="0" borderId="36" xfId="0" applyNumberFormat="1" applyFont="1" applyBorder="1" applyAlignment="1">
      <alignment horizontal="center"/>
    </xf>
    <xf numFmtId="49" fontId="4" fillId="0" borderId="37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0" fontId="14" fillId="0" borderId="2" xfId="0" applyFont="1" applyBorder="1"/>
    <xf numFmtId="42" fontId="32" fillId="0" borderId="38" xfId="0" applyNumberFormat="1" applyFont="1" applyBorder="1"/>
    <xf numFmtId="167" fontId="6" fillId="0" borderId="15" xfId="4" applyNumberFormat="1" applyFont="1" applyFill="1" applyBorder="1"/>
    <xf numFmtId="167" fontId="5" fillId="0" borderId="4" xfId="4" applyNumberFormat="1" applyFont="1" applyFill="1" applyBorder="1"/>
    <xf numFmtId="9" fontId="54" fillId="0" borderId="11" xfId="18" applyFont="1" applyFill="1" applyBorder="1"/>
    <xf numFmtId="167" fontId="16" fillId="0" borderId="17" xfId="4" applyNumberFormat="1" applyFont="1" applyFill="1" applyBorder="1"/>
    <xf numFmtId="167" fontId="6" fillId="0" borderId="5" xfId="4" applyNumberFormat="1" applyFont="1" applyFill="1" applyBorder="1"/>
    <xf numFmtId="167" fontId="4" fillId="0" borderId="4" xfId="4" applyNumberFormat="1" applyFont="1" applyFill="1" applyBorder="1"/>
    <xf numFmtId="49" fontId="4" fillId="0" borderId="6" xfId="0" applyNumberFormat="1" applyFont="1" applyBorder="1" applyAlignment="1">
      <alignment horizontal="center"/>
    </xf>
    <xf numFmtId="167" fontId="50" fillId="20" borderId="7" xfId="4" applyNumberFormat="1" applyFont="1" applyFill="1" applyBorder="1"/>
    <xf numFmtId="167" fontId="50" fillId="20" borderId="8" xfId="4" applyNumberFormat="1" applyFont="1" applyFill="1" applyBorder="1"/>
    <xf numFmtId="167" fontId="35" fillId="2" borderId="2" xfId="1" applyNumberFormat="1" applyBorder="1"/>
    <xf numFmtId="0" fontId="36" fillId="4" borderId="7" xfId="3" applyBorder="1" applyAlignment="1">
      <alignment horizontal="center"/>
    </xf>
    <xf numFmtId="167" fontId="35" fillId="2" borderId="7" xfId="1" applyNumberFormat="1" applyBorder="1"/>
    <xf numFmtId="0" fontId="35" fillId="2" borderId="0" xfId="1"/>
    <xf numFmtId="49" fontId="35" fillId="2" borderId="0" xfId="1" applyNumberFormat="1"/>
    <xf numFmtId="170" fontId="35" fillId="2" borderId="0" xfId="1" applyNumberFormat="1"/>
    <xf numFmtId="171" fontId="35" fillId="2" borderId="0" xfId="1" applyNumberFormat="1"/>
    <xf numFmtId="167" fontId="35" fillId="2" borderId="0" xfId="1" applyNumberFormat="1"/>
    <xf numFmtId="0" fontId="4" fillId="0" borderId="14" xfId="0" applyFont="1" applyBorder="1" applyAlignment="1">
      <alignment horizontal="right"/>
    </xf>
    <xf numFmtId="167" fontId="4" fillId="0" borderId="8" xfId="4" applyNumberFormat="1" applyFont="1" applyFill="1" applyBorder="1"/>
    <xf numFmtId="0" fontId="19" fillId="0" borderId="10" xfId="0" applyFont="1" applyBorder="1" applyAlignment="1">
      <alignment horizontal="center"/>
    </xf>
    <xf numFmtId="167" fontId="6" fillId="0" borderId="8" xfId="4" applyNumberFormat="1" applyFont="1" applyFill="1" applyBorder="1"/>
    <xf numFmtId="167" fontId="6" fillId="0" borderId="14" xfId="4" applyNumberFormat="1" applyFont="1" applyFill="1" applyBorder="1"/>
    <xf numFmtId="9" fontId="32" fillId="0" borderId="0" xfId="19" applyFont="1" applyFill="1" applyBorder="1"/>
    <xf numFmtId="167" fontId="6" fillId="0" borderId="7" xfId="5" applyNumberFormat="1" applyFont="1" applyFill="1" applyBorder="1"/>
    <xf numFmtId="167" fontId="6" fillId="0" borderId="2" xfId="5" applyNumberFormat="1" applyFont="1" applyFill="1" applyBorder="1"/>
    <xf numFmtId="167" fontId="35" fillId="3" borderId="7" xfId="2" applyNumberFormat="1" applyBorder="1"/>
    <xf numFmtId="0" fontId="6" fillId="0" borderId="6" xfId="0" applyFont="1" applyBorder="1" applyAlignment="1">
      <alignment horizontal="right"/>
    </xf>
    <xf numFmtId="167" fontId="6" fillId="0" borderId="1" xfId="5" applyNumberFormat="1" applyFont="1" applyFill="1" applyBorder="1"/>
    <xf numFmtId="167" fontId="0" fillId="0" borderId="2" xfId="5" applyNumberFormat="1" applyFont="1" applyBorder="1"/>
    <xf numFmtId="0" fontId="6" fillId="0" borderId="8" xfId="0" applyFont="1" applyBorder="1" applyAlignment="1">
      <alignment horizontal="right"/>
    </xf>
    <xf numFmtId="44" fontId="6" fillId="0" borderId="10" xfId="9" applyFont="1" applyFill="1" applyBorder="1"/>
    <xf numFmtId="9" fontId="32" fillId="0" borderId="10" xfId="19" applyFont="1" applyFill="1" applyBorder="1"/>
    <xf numFmtId="167" fontId="6" fillId="0" borderId="8" xfId="5" applyNumberFormat="1" applyFont="1" applyFill="1" applyBorder="1"/>
    <xf numFmtId="167" fontId="6" fillId="0" borderId="4" xfId="5" applyNumberFormat="1" applyFont="1" applyFill="1" applyBorder="1"/>
    <xf numFmtId="0" fontId="4" fillId="0" borderId="17" xfId="0" applyFont="1" applyBorder="1" applyAlignment="1">
      <alignment horizontal="right"/>
    </xf>
    <xf numFmtId="0" fontId="4" fillId="0" borderId="12" xfId="0" applyFont="1" applyBorder="1" applyAlignment="1">
      <alignment horizontal="right" wrapText="1"/>
    </xf>
    <xf numFmtId="0" fontId="6" fillId="0" borderId="0" xfId="0" applyFont="1" applyAlignment="1">
      <alignment horizontal="right"/>
    </xf>
    <xf numFmtId="167" fontId="32" fillId="0" borderId="11" xfId="4" applyNumberFormat="1" applyFont="1" applyFill="1" applyBorder="1"/>
    <xf numFmtId="9" fontId="32" fillId="0" borderId="11" xfId="18" applyFont="1" applyFill="1" applyBorder="1"/>
    <xf numFmtId="167" fontId="4" fillId="0" borderId="1" xfId="4" applyNumberFormat="1" applyFont="1" applyFill="1" applyBorder="1" applyAlignment="1">
      <alignment horizontal="center"/>
    </xf>
    <xf numFmtId="0" fontId="4" fillId="0" borderId="39" xfId="0" applyFont="1" applyBorder="1"/>
    <xf numFmtId="49" fontId="4" fillId="0" borderId="40" xfId="0" applyNumberFormat="1" applyFont="1" applyBorder="1" applyAlignment="1">
      <alignment horizontal="center"/>
    </xf>
    <xf numFmtId="0" fontId="36" fillId="0" borderId="18" xfId="3" applyFill="1" applyBorder="1"/>
    <xf numFmtId="0" fontId="36" fillId="0" borderId="41" xfId="3" applyFill="1" applyBorder="1"/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164" fontId="5" fillId="0" borderId="10" xfId="0" applyNumberFormat="1" applyFont="1" applyBorder="1" applyAlignment="1">
      <alignment horizontal="center" wrapText="1"/>
    </xf>
    <xf numFmtId="0" fontId="38" fillId="0" borderId="10" xfId="0" applyFont="1" applyBorder="1" applyAlignment="1">
      <alignment horizontal="center"/>
    </xf>
    <xf numFmtId="165" fontId="38" fillId="0" borderId="10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 wrapText="1"/>
    </xf>
    <xf numFmtId="0" fontId="0" fillId="0" borderId="17" xfId="0" applyBorder="1"/>
    <xf numFmtId="0" fontId="6" fillId="0" borderId="7" xfId="0" applyFont="1" applyBorder="1"/>
    <xf numFmtId="167" fontId="4" fillId="0" borderId="16" xfId="4" applyNumberFormat="1" applyFont="1" applyFill="1" applyBorder="1"/>
    <xf numFmtId="170" fontId="52" fillId="0" borderId="6" xfId="16" applyNumberFormat="1" applyFont="1" applyBorder="1"/>
    <xf numFmtId="170" fontId="52" fillId="0" borderId="7" xfId="16" applyNumberFormat="1" applyFont="1" applyBorder="1"/>
    <xf numFmtId="170" fontId="59" fillId="0" borderId="6" xfId="16" applyNumberFormat="1" applyFont="1" applyBorder="1"/>
    <xf numFmtId="170" fontId="59" fillId="0" borderId="7" xfId="16" applyNumberFormat="1" applyFont="1" applyBorder="1"/>
    <xf numFmtId="170" fontId="59" fillId="0" borderId="8" xfId="16" applyNumberFormat="1" applyFont="1" applyBorder="1"/>
    <xf numFmtId="0" fontId="4" fillId="0" borderId="25" xfId="0" applyFont="1" applyBorder="1" applyAlignment="1">
      <alignment horizontal="center"/>
    </xf>
    <xf numFmtId="0" fontId="6" fillId="0" borderId="42" xfId="0" applyFont="1" applyBorder="1" applyAlignment="1">
      <alignment horizontal="right"/>
    </xf>
    <xf numFmtId="0" fontId="6" fillId="0" borderId="40" xfId="0" applyFont="1" applyBorder="1" applyAlignment="1">
      <alignment horizontal="right"/>
    </xf>
    <xf numFmtId="167" fontId="4" fillId="0" borderId="5" xfId="4" applyNumberFormat="1" applyFont="1" applyFill="1" applyBorder="1" applyAlignment="1"/>
    <xf numFmtId="167" fontId="4" fillId="0" borderId="27" xfId="4" applyNumberFormat="1" applyFont="1" applyFill="1" applyBorder="1"/>
    <xf numFmtId="44" fontId="6" fillId="0" borderId="6" xfId="0" applyNumberFormat="1" applyFont="1" applyBorder="1"/>
    <xf numFmtId="167" fontId="14" fillId="0" borderId="0" xfId="4" applyNumberFormat="1" applyFont="1"/>
    <xf numFmtId="167" fontId="6" fillId="0" borderId="0" xfId="4" applyNumberFormat="1" applyFont="1"/>
    <xf numFmtId="0" fontId="18" fillId="0" borderId="0" xfId="0" applyFont="1" applyAlignment="1">
      <alignment horizontal="center"/>
    </xf>
    <xf numFmtId="0" fontId="22" fillId="0" borderId="5" xfId="0" quotePrefix="1" applyFont="1" applyBorder="1" applyAlignment="1">
      <alignment horizontal="center" wrapText="1"/>
    </xf>
    <xf numFmtId="0" fontId="22" fillId="0" borderId="0" xfId="0" quotePrefix="1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23" fillId="0" borderId="2" xfId="0" applyFont="1" applyBorder="1" applyAlignment="1">
      <alignment horizontal="center" wrapText="1"/>
    </xf>
    <xf numFmtId="0" fontId="3" fillId="0" borderId="1" xfId="0" applyFont="1" applyBorder="1"/>
    <xf numFmtId="0" fontId="19" fillId="0" borderId="2" xfId="0" applyFont="1" applyBorder="1"/>
    <xf numFmtId="0" fontId="18" fillId="0" borderId="2" xfId="0" applyFont="1" applyBorder="1"/>
    <xf numFmtId="0" fontId="3" fillId="0" borderId="5" xfId="0" applyFont="1" applyBorder="1" applyAlignment="1">
      <alignment horizontal="center"/>
    </xf>
    <xf numFmtId="167" fontId="65" fillId="0" borderId="0" xfId="4" applyNumberFormat="1" applyFont="1" applyFill="1" applyBorder="1"/>
    <xf numFmtId="9" fontId="65" fillId="0" borderId="0" xfId="18" applyFont="1" applyFill="1" applyBorder="1"/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49" fontId="53" fillId="0" borderId="0" xfId="20" applyNumberFormat="1" applyFont="1"/>
    <xf numFmtId="49" fontId="1" fillId="0" borderId="0" xfId="20" applyNumberFormat="1" applyAlignment="1">
      <alignment horizontal="centerContinuous"/>
    </xf>
    <xf numFmtId="0" fontId="1" fillId="0" borderId="0" xfId="20"/>
    <xf numFmtId="49" fontId="53" fillId="0" borderId="0" xfId="20" applyNumberFormat="1" applyFont="1" applyAlignment="1">
      <alignment horizontal="center"/>
    </xf>
    <xf numFmtId="49" fontId="53" fillId="0" borderId="30" xfId="20" applyNumberFormat="1" applyFont="1" applyBorder="1" applyAlignment="1">
      <alignment horizontal="center"/>
    </xf>
    <xf numFmtId="0" fontId="1" fillId="0" borderId="0" xfId="20" applyAlignment="1">
      <alignment horizontal="center"/>
    </xf>
    <xf numFmtId="168" fontId="52" fillId="0" borderId="0" xfId="20" applyNumberFormat="1" applyFont="1"/>
    <xf numFmtId="169" fontId="52" fillId="0" borderId="0" xfId="20" applyNumberFormat="1" applyFont="1"/>
    <xf numFmtId="168" fontId="52" fillId="0" borderId="10" xfId="20" applyNumberFormat="1" applyFont="1" applyBorder="1"/>
    <xf numFmtId="169" fontId="52" fillId="0" borderId="10" xfId="20" applyNumberFormat="1" applyFont="1" applyBorder="1"/>
    <xf numFmtId="168" fontId="52" fillId="0" borderId="11" xfId="20" applyNumberFormat="1" applyFont="1" applyBorder="1"/>
    <xf numFmtId="169" fontId="52" fillId="0" borderId="11" xfId="20" applyNumberFormat="1" applyFont="1" applyBorder="1"/>
    <xf numFmtId="168" fontId="52" fillId="0" borderId="13" xfId="20" applyNumberFormat="1" applyFont="1" applyBorder="1"/>
    <xf numFmtId="169" fontId="52" fillId="0" borderId="13" xfId="20" applyNumberFormat="1" applyFont="1" applyBorder="1"/>
    <xf numFmtId="168" fontId="53" fillId="0" borderId="29" xfId="20" applyNumberFormat="1" applyFont="1" applyBorder="1"/>
    <xf numFmtId="169" fontId="53" fillId="0" borderId="29" xfId="20" applyNumberFormat="1" applyFont="1" applyBorder="1"/>
    <xf numFmtId="0" fontId="53" fillId="0" borderId="0" xfId="20" applyFont="1"/>
    <xf numFmtId="167" fontId="4" fillId="0" borderId="25" xfId="5" applyNumberFormat="1" applyFont="1" applyFill="1" applyBorder="1"/>
    <xf numFmtId="167" fontId="5" fillId="0" borderId="4" xfId="5" applyNumberFormat="1" applyFont="1" applyFill="1" applyBorder="1"/>
    <xf numFmtId="167" fontId="4" fillId="0" borderId="15" xfId="5" applyNumberFormat="1" applyFont="1" applyFill="1" applyBorder="1" applyAlignment="1"/>
    <xf numFmtId="167" fontId="4" fillId="0" borderId="2" xfId="5" applyNumberFormat="1" applyFont="1" applyFill="1" applyBorder="1" applyAlignment="1"/>
    <xf numFmtId="167" fontId="4" fillId="0" borderId="1" xfId="5" applyNumberFormat="1" applyFont="1" applyFill="1" applyBorder="1"/>
    <xf numFmtId="167" fontId="4" fillId="0" borderId="16" xfId="5" applyNumberFormat="1" applyFont="1" applyFill="1" applyBorder="1" applyAlignment="1"/>
    <xf numFmtId="167" fontId="4" fillId="0" borderId="8" xfId="5" applyNumberFormat="1" applyFont="1" applyFill="1" applyBorder="1" applyAlignment="1"/>
    <xf numFmtId="167" fontId="6" fillId="0" borderId="6" xfId="5" applyNumberFormat="1" applyFont="1" applyFill="1" applyBorder="1"/>
    <xf numFmtId="167" fontId="4" fillId="0" borderId="7" xfId="5" applyNumberFormat="1" applyFont="1" applyFill="1" applyBorder="1" applyAlignment="1"/>
    <xf numFmtId="0" fontId="4" fillId="0" borderId="0" xfId="0" applyFont="1" applyAlignment="1">
      <alignment horizontal="right" wrapText="1"/>
    </xf>
    <xf numFmtId="167" fontId="4" fillId="0" borderId="0" xfId="5" applyNumberFormat="1" applyFont="1" applyFill="1" applyBorder="1" applyAlignment="1"/>
    <xf numFmtId="167" fontId="4" fillId="0" borderId="4" xfId="5" applyNumberFormat="1" applyFont="1" applyFill="1" applyBorder="1"/>
    <xf numFmtId="167" fontId="4" fillId="0" borderId="8" xfId="5" applyNumberFormat="1" applyFont="1" applyFill="1" applyBorder="1"/>
    <xf numFmtId="0" fontId="19" fillId="0" borderId="11" xfId="0" applyFont="1" applyBorder="1" applyAlignment="1">
      <alignment horizontal="center"/>
    </xf>
    <xf numFmtId="49" fontId="1" fillId="0" borderId="0" xfId="20" applyNumberFormat="1" applyAlignment="1">
      <alignment horizontal="center"/>
    </xf>
    <xf numFmtId="43" fontId="6" fillId="0" borderId="0" xfId="4" applyFont="1"/>
    <xf numFmtId="0" fontId="2" fillId="0" borderId="0" xfId="0" applyFont="1"/>
    <xf numFmtId="0" fontId="5" fillId="0" borderId="7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6" fillId="0" borderId="6" xfId="0" applyFont="1" applyBorder="1"/>
    <xf numFmtId="167" fontId="6" fillId="0" borderId="1" xfId="4" applyNumberFormat="1" applyFont="1" applyFill="1" applyBorder="1"/>
    <xf numFmtId="167" fontId="4" fillId="0" borderId="43" xfId="4" applyNumberFormat="1" applyFont="1" applyFill="1" applyBorder="1"/>
    <xf numFmtId="0" fontId="4" fillId="0" borderId="44" xfId="0" applyFont="1" applyBorder="1" applyAlignment="1">
      <alignment horizontal="right"/>
    </xf>
    <xf numFmtId="167" fontId="15" fillId="0" borderId="0" xfId="4" applyNumberFormat="1" applyFont="1" applyFill="1" applyBorder="1"/>
    <xf numFmtId="0" fontId="14" fillId="0" borderId="0" xfId="0" applyFont="1" applyAlignment="1">
      <alignment wrapText="1"/>
    </xf>
    <xf numFmtId="0" fontId="14" fillId="0" borderId="10" xfId="0" applyFont="1" applyBorder="1" applyAlignment="1">
      <alignment horizontal="center" wrapText="1"/>
    </xf>
    <xf numFmtId="0" fontId="14" fillId="0" borderId="13" xfId="0" applyFont="1" applyBorder="1"/>
    <xf numFmtId="167" fontId="4" fillId="0" borderId="10" xfId="4" applyNumberFormat="1" applyFont="1" applyFill="1" applyBorder="1" applyAlignment="1"/>
    <xf numFmtId="167" fontId="4" fillId="0" borderId="45" xfId="4" applyNumberFormat="1" applyFont="1" applyFill="1" applyBorder="1" applyAlignment="1"/>
    <xf numFmtId="167" fontId="6" fillId="0" borderId="34" xfId="4" applyNumberFormat="1" applyFont="1" applyFill="1" applyBorder="1"/>
    <xf numFmtId="0" fontId="4" fillId="0" borderId="1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168" fontId="52" fillId="0" borderId="0" xfId="0" applyNumberFormat="1" applyFont="1"/>
    <xf numFmtId="168" fontId="52" fillId="0" borderId="10" xfId="0" applyNumberFormat="1" applyFont="1" applyBorder="1"/>
    <xf numFmtId="49" fontId="53" fillId="0" borderId="0" xfId="0" applyNumberFormat="1" applyFont="1"/>
    <xf numFmtId="49" fontId="53" fillId="0" borderId="30" xfId="0" applyNumberFormat="1" applyFont="1" applyBorder="1" applyAlignment="1">
      <alignment horizontal="center"/>
    </xf>
    <xf numFmtId="168" fontId="52" fillId="0" borderId="18" xfId="20" applyNumberFormat="1" applyFont="1" applyBorder="1"/>
    <xf numFmtId="168" fontId="52" fillId="0" borderId="18" xfId="0" applyNumberFormat="1" applyFont="1" applyBorder="1"/>
    <xf numFmtId="169" fontId="52" fillId="0" borderId="18" xfId="20" applyNumberFormat="1" applyFont="1" applyBorder="1"/>
    <xf numFmtId="168" fontId="52" fillId="0" borderId="21" xfId="20" applyNumberFormat="1" applyFont="1" applyBorder="1"/>
    <xf numFmtId="169" fontId="52" fillId="0" borderId="21" xfId="20" applyNumberFormat="1" applyFont="1" applyBorder="1"/>
    <xf numFmtId="0" fontId="2" fillId="0" borderId="5" xfId="0" applyFont="1" applyBorder="1" applyAlignment="1">
      <alignment horizontal="right"/>
    </xf>
    <xf numFmtId="168" fontId="1" fillId="0" borderId="0" xfId="20" applyNumberFormat="1"/>
    <xf numFmtId="167" fontId="2" fillId="0" borderId="2" xfId="4" applyNumberFormat="1" applyFont="1" applyFill="1" applyBorder="1"/>
    <xf numFmtId="167" fontId="2" fillId="0" borderId="1" xfId="5" applyNumberFormat="1" applyFont="1" applyFill="1" applyBorder="1"/>
    <xf numFmtId="167" fontId="2" fillId="0" borderId="7" xfId="5" applyNumberFormat="1" applyFont="1" applyFill="1" applyBorder="1"/>
    <xf numFmtId="167" fontId="2" fillId="0" borderId="2" xfId="5" applyNumberFormat="1" applyFont="1" applyFill="1" applyBorder="1"/>
    <xf numFmtId="167" fontId="2" fillId="0" borderId="4" xfId="5" applyNumberFormat="1" applyFont="1" applyFill="1" applyBorder="1"/>
    <xf numFmtId="39" fontId="6" fillId="0" borderId="0" xfId="0" applyNumberFormat="1" applyFont="1"/>
    <xf numFmtId="166" fontId="4" fillId="0" borderId="16" xfId="8" applyNumberFormat="1" applyFont="1" applyBorder="1" applyAlignment="1">
      <alignment horizontal="left"/>
    </xf>
    <xf numFmtId="166" fontId="6" fillId="0" borderId="5" xfId="8" applyNumberFormat="1" applyFont="1" applyBorder="1" applyAlignment="1">
      <alignment horizontal="right"/>
    </xf>
    <xf numFmtId="166" fontId="4" fillId="0" borderId="16" xfId="8" applyNumberFormat="1" applyFont="1" applyBorder="1" applyAlignment="1">
      <alignment horizontal="right"/>
    </xf>
    <xf numFmtId="166" fontId="6" fillId="0" borderId="14" xfId="8" applyNumberFormat="1" applyFont="1" applyBorder="1"/>
    <xf numFmtId="166" fontId="4" fillId="0" borderId="6" xfId="8" applyNumberFormat="1" applyFont="1" applyBorder="1" applyAlignment="1">
      <alignment horizontal="left"/>
    </xf>
    <xf numFmtId="166" fontId="5" fillId="0" borderId="6" xfId="8" applyNumberFormat="1" applyFont="1" applyBorder="1" applyAlignment="1">
      <alignment horizontal="left"/>
    </xf>
    <xf numFmtId="166" fontId="6" fillId="0" borderId="7" xfId="8" applyNumberFormat="1" applyFont="1" applyBorder="1" applyAlignment="1">
      <alignment horizontal="right"/>
    </xf>
    <xf numFmtId="166" fontId="2" fillId="0" borderId="7" xfId="8" applyNumberFormat="1" applyFont="1" applyBorder="1" applyAlignment="1">
      <alignment horizontal="right"/>
    </xf>
    <xf numFmtId="166" fontId="4" fillId="0" borderId="44" xfId="8" applyNumberFormat="1" applyFont="1" applyBorder="1" applyAlignment="1">
      <alignment horizontal="right"/>
    </xf>
    <xf numFmtId="166" fontId="5" fillId="0" borderId="14" xfId="8" applyNumberFormat="1" applyFont="1" applyBorder="1"/>
    <xf numFmtId="166" fontId="5" fillId="0" borderId="7" xfId="8" applyNumberFormat="1" applyFont="1" applyBorder="1" applyAlignment="1">
      <alignment horizontal="left"/>
    </xf>
    <xf numFmtId="166" fontId="5" fillId="0" borderId="7" xfId="8" applyNumberFormat="1" applyFont="1" applyBorder="1" applyAlignment="1">
      <alignment horizontal="center"/>
    </xf>
    <xf numFmtId="166" fontId="4" fillId="0" borderId="5" xfId="8" applyNumberFormat="1" applyFont="1" applyBorder="1" applyAlignment="1">
      <alignment horizontal="right"/>
    </xf>
    <xf numFmtId="166" fontId="4" fillId="0" borderId="6" xfId="8" applyNumberFormat="1" applyFont="1" applyBorder="1" applyAlignment="1">
      <alignment horizontal="right"/>
    </xf>
    <xf numFmtId="166" fontId="4" fillId="0" borderId="17" xfId="8" applyNumberFormat="1" applyFont="1" applyBorder="1" applyAlignment="1">
      <alignment horizontal="right"/>
    </xf>
    <xf numFmtId="166" fontId="4" fillId="0" borderId="12" xfId="8" applyNumberFormat="1" applyFont="1" applyBorder="1" applyAlignment="1">
      <alignment horizontal="right" wrapText="1"/>
    </xf>
    <xf numFmtId="166" fontId="4" fillId="0" borderId="14" xfId="8" applyNumberFormat="1" applyFont="1" applyBorder="1" applyAlignment="1">
      <alignment horizontal="right"/>
    </xf>
    <xf numFmtId="166" fontId="14" fillId="0" borderId="5" xfId="8" applyNumberFormat="1" applyFont="1" applyBorder="1"/>
    <xf numFmtId="166" fontId="5" fillId="0" borderId="17" xfId="8" applyNumberFormat="1" applyFont="1" applyBorder="1" applyAlignment="1">
      <alignment horizontal="right"/>
    </xf>
    <xf numFmtId="166" fontId="4" fillId="0" borderId="16" xfId="8" applyNumberFormat="1" applyFont="1" applyBorder="1" applyAlignment="1">
      <alignment horizontal="right" wrapText="1"/>
    </xf>
    <xf numFmtId="0" fontId="3" fillId="0" borderId="1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8" fillId="0" borderId="5" xfId="0" quotePrefix="1" applyFont="1" applyBorder="1" applyAlignment="1">
      <alignment horizontal="center"/>
    </xf>
    <xf numFmtId="0" fontId="18" fillId="0" borderId="0" xfId="0" quotePrefix="1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2" xfId="0" applyFont="1" applyBorder="1" applyAlignment="1">
      <alignment horizontal="center"/>
    </xf>
    <xf numFmtId="0" fontId="22" fillId="0" borderId="5" xfId="0" quotePrefix="1" applyFont="1" applyBorder="1" applyAlignment="1">
      <alignment horizontal="center" wrapText="1"/>
    </xf>
    <xf numFmtId="0" fontId="22" fillId="0" borderId="0" xfId="0" quotePrefix="1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23" fillId="0" borderId="2" xfId="0" applyFont="1" applyBorder="1" applyAlignment="1">
      <alignment horizontal="center" wrapText="1"/>
    </xf>
    <xf numFmtId="164" fontId="3" fillId="0" borderId="10" xfId="0" applyNumberFormat="1" applyFont="1" applyBorder="1" applyAlignment="1">
      <alignment horizontal="center" wrapText="1"/>
    </xf>
    <xf numFmtId="0" fontId="19" fillId="22" borderId="5" xfId="0" applyFont="1" applyFill="1" applyBorder="1" applyAlignment="1">
      <alignment horizontal="center"/>
    </xf>
    <xf numFmtId="0" fontId="19" fillId="22" borderId="0" xfId="0" applyFont="1" applyFill="1" applyAlignment="1">
      <alignment horizontal="center"/>
    </xf>
    <xf numFmtId="0" fontId="19" fillId="22" borderId="2" xfId="0" applyFont="1" applyFill="1" applyBorder="1" applyAlignment="1">
      <alignment horizontal="center"/>
    </xf>
    <xf numFmtId="0" fontId="3" fillId="22" borderId="17" xfId="0" applyFont="1" applyFill="1" applyBorder="1" applyAlignment="1">
      <alignment horizontal="center"/>
    </xf>
    <xf numFmtId="0" fontId="3" fillId="22" borderId="11" xfId="0" applyFont="1" applyFill="1" applyBorder="1" applyAlignment="1">
      <alignment horizontal="center"/>
    </xf>
    <xf numFmtId="0" fontId="3" fillId="2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0" quotePrefix="1" applyFont="1" applyAlignment="1">
      <alignment horizontal="center" wrapText="1"/>
    </xf>
    <xf numFmtId="0" fontId="0" fillId="0" borderId="0" xfId="0" applyAlignment="1">
      <alignment horizontal="center" wrapText="1"/>
    </xf>
  </cellXfs>
  <cellStyles count="21">
    <cellStyle name="Accent2" xfId="1" builtinId="33"/>
    <cellStyle name="Accent3" xfId="2" builtinId="37"/>
    <cellStyle name="Bad" xfId="3" builtinId="27"/>
    <cellStyle name="Comma" xfId="4" builtinId="3"/>
    <cellStyle name="Comma 2" xfId="5" xr:uid="{00000000-0005-0000-0000-000004000000}"/>
    <cellStyle name="Comma 2 2" xfId="6" xr:uid="{00000000-0005-0000-0000-000005000000}"/>
    <cellStyle name="Comma 3" xfId="7" xr:uid="{00000000-0005-0000-0000-000006000000}"/>
    <cellStyle name="Currency" xfId="8" builtinId="4"/>
    <cellStyle name="Currency 2" xfId="9" xr:uid="{00000000-0005-0000-0000-000008000000}"/>
    <cellStyle name="Currency 2 2" xfId="10" xr:uid="{00000000-0005-0000-0000-000009000000}"/>
    <cellStyle name="Currency 3" xfId="11" xr:uid="{00000000-0005-0000-0000-00000A000000}"/>
    <cellStyle name="Good" xfId="12" builtinId="26"/>
    <cellStyle name="Normal" xfId="0" builtinId="0"/>
    <cellStyle name="Normal 2" xfId="13" xr:uid="{00000000-0005-0000-0000-00000E000000}"/>
    <cellStyle name="Normal 2 2" xfId="14" xr:uid="{00000000-0005-0000-0000-00000F000000}"/>
    <cellStyle name="Normal 2 2 2" xfId="15" xr:uid="{00000000-0005-0000-0000-000010000000}"/>
    <cellStyle name="Normal 3" xfId="16" xr:uid="{00000000-0005-0000-0000-000011000000}"/>
    <cellStyle name="Normal 4" xfId="17" xr:uid="{00000000-0005-0000-0000-000012000000}"/>
    <cellStyle name="Normal 5" xfId="20" xr:uid="{7ED7286D-E59C-47BA-85EF-093C408854F3}"/>
    <cellStyle name="Percent" xfId="18" builtinId="5"/>
    <cellStyle name="Percent 2" xfId="19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microsoft.com/office/2017/10/relationships/person" Target="persons/pers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0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0-9D04-4E90-BD97-E2DCC043A7E0}"/>
              </c:ext>
            </c:extLst>
          </c:dPt>
          <c:dPt>
            <c:idx val="1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D04-4E90-BD97-E2DCC043A7E0}"/>
              </c:ext>
            </c:extLst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9D04-4E90-BD97-E2DCC043A7E0}"/>
              </c:ext>
            </c:extLst>
          </c:dPt>
          <c:dPt>
            <c:idx val="3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D04-4E90-BD97-E2DCC043A7E0}"/>
              </c:ext>
            </c:extLst>
          </c:dPt>
          <c:dLbls>
            <c:dLbl>
              <c:idx val="0"/>
              <c:layout>
                <c:manualLayout>
                  <c:x val="-0.1516268176331973"/>
                  <c:y val="0.1798642699543035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04-4E90-BD97-E2DCC043A7E0}"/>
                </c:ext>
              </c:extLst>
            </c:dLbl>
            <c:dLbl>
              <c:idx val="1"/>
              <c:layout>
                <c:manualLayout>
                  <c:x val="-0.16151589171791483"/>
                  <c:y val="-0.15687779067457205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04-4E90-BD97-E2DCC043A7E0}"/>
                </c:ext>
              </c:extLst>
            </c:dLbl>
            <c:dLbl>
              <c:idx val="2"/>
              <c:layout>
                <c:manualLayout>
                  <c:x val="0.12956204379562045"/>
                  <c:y val="-0.1901481737093620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04-4E90-BD97-E2DCC043A7E0}"/>
                </c:ext>
              </c:extLst>
            </c:dLbl>
            <c:dLbl>
              <c:idx val="3"/>
              <c:layout>
                <c:manualLayout>
                  <c:x val="0.14796798666590033"/>
                  <c:y val="0.17935146552896028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04-4E90-BD97-E2DCC043A7E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'Monthly Rate Breakdown'!$I$17:$I$20</c:f>
              <c:strCache>
                <c:ptCount val="4"/>
                <c:pt idx="0">
                  <c:v>Administration</c:v>
                </c:pt>
                <c:pt idx="1">
                  <c:v>Operations</c:v>
                </c:pt>
                <c:pt idx="2">
                  <c:v>Depreciation to PTIF 4668 Replacement</c:v>
                </c:pt>
                <c:pt idx="3">
                  <c:v>Excess to PTIF 0248 Existing Residents</c:v>
                </c:pt>
              </c:strCache>
            </c:strRef>
          </c:cat>
          <c:val>
            <c:numRef>
              <c:f>'Monthly Rate Breakdown'!$J$17:$J$20</c:f>
              <c:numCache>
                <c:formatCode>_("$"* #,##0_);_("$"* \(#,##0\);_("$"* "-"_);_(@_)</c:formatCode>
                <c:ptCount val="4"/>
                <c:pt idx="0">
                  <c:v>205650</c:v>
                </c:pt>
                <c:pt idx="1">
                  <c:v>174350</c:v>
                </c:pt>
                <c:pt idx="2" formatCode="_(&quot;$&quot;* #,##0_);_(&quot;$&quot;* \(#,##0\);_(&quot;$&quot;* &quot;-&quot;??_);_(@_)">
                  <c:v>198000</c:v>
                </c:pt>
                <c:pt idx="3" formatCode="_(&quot;$&quot;* #,##0_);_(&quot;$&quot;* \(#,##0\);_(&quot;$&quot;* &quot;-&quot;??_);_(@_)">
                  <c:v>135720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04-4E90-BD97-E2DCC043A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5665528471047818"/>
          <c:y val="0.39845049489295764"/>
          <c:w val="0.98087888808700552"/>
          <c:h val="0.58595663493870498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28575</xdr:rowOff>
        </xdr:to>
        <xdr:sp macro="" textlink="">
          <xdr:nvSpPr>
            <xdr:cNvPr id="11991041" name="FILTER" hidden="1">
              <a:extLst>
                <a:ext uri="{63B3BB69-23CF-44E3-9099-C40C66FF867C}">
                  <a14:compatExt spid="_x0000_s11991041"/>
                </a:ext>
                <a:ext uri="{FF2B5EF4-FFF2-40B4-BE49-F238E27FC236}">
                  <a16:creationId xmlns:a16="http://schemas.microsoft.com/office/drawing/2014/main" id="{00000000-0008-0000-0500-000001F8B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28575</xdr:rowOff>
        </xdr:to>
        <xdr:sp macro="" textlink="">
          <xdr:nvSpPr>
            <xdr:cNvPr id="11991042" name="HEADER" hidden="1">
              <a:extLst>
                <a:ext uri="{63B3BB69-23CF-44E3-9099-C40C66FF867C}">
                  <a14:compatExt spid="_x0000_s11991042"/>
                </a:ext>
                <a:ext uri="{FF2B5EF4-FFF2-40B4-BE49-F238E27FC236}">
                  <a16:creationId xmlns:a16="http://schemas.microsoft.com/office/drawing/2014/main" id="{00000000-0008-0000-0500-000002F8B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19050</xdr:rowOff>
        </xdr:to>
        <xdr:sp macro="" textlink="">
          <xdr:nvSpPr>
            <xdr:cNvPr id="12000257" name="FILTER" hidden="1">
              <a:extLst>
                <a:ext uri="{63B3BB69-23CF-44E3-9099-C40C66FF867C}">
                  <a14:compatExt spid="_x0000_s12000257"/>
                </a:ext>
                <a:ext uri="{FF2B5EF4-FFF2-40B4-BE49-F238E27FC236}">
                  <a16:creationId xmlns:a16="http://schemas.microsoft.com/office/drawing/2014/main" id="{00000000-0008-0000-0600-0000011CB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19050</xdr:rowOff>
        </xdr:to>
        <xdr:sp macro="" textlink="">
          <xdr:nvSpPr>
            <xdr:cNvPr id="12000258" name="HEADER" hidden="1">
              <a:extLst>
                <a:ext uri="{63B3BB69-23CF-44E3-9099-C40C66FF867C}">
                  <a14:compatExt spid="_x0000_s12000258"/>
                </a:ext>
                <a:ext uri="{FF2B5EF4-FFF2-40B4-BE49-F238E27FC236}">
                  <a16:creationId xmlns:a16="http://schemas.microsoft.com/office/drawing/2014/main" id="{00000000-0008-0000-0600-0000021CB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942975</xdr:colOff>
      <xdr:row>22</xdr:row>
      <xdr:rowOff>123825</xdr:rowOff>
    </xdr:from>
    <xdr:to>
      <xdr:col>14</xdr:col>
      <xdr:colOff>123825</xdr:colOff>
      <xdr:row>52</xdr:row>
      <xdr:rowOff>142875</xdr:rowOff>
    </xdr:to>
    <xdr:graphicFrame macro="">
      <xdr:nvGraphicFramePr>
        <xdr:cNvPr id="2372221" name="Chart 1">
          <a:extLst>
            <a:ext uri="{FF2B5EF4-FFF2-40B4-BE49-F238E27FC236}">
              <a16:creationId xmlns:a16="http://schemas.microsoft.com/office/drawing/2014/main" id="{00000000-0008-0000-0900-00007D322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control" Target="../activeX/activeX4.xml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9"/>
  <sheetViews>
    <sheetView showGridLines="0" topLeftCell="A53" zoomScale="160" zoomScaleNormal="160" workbookViewId="0">
      <selection sqref="A1:G68"/>
    </sheetView>
  </sheetViews>
  <sheetFormatPr defaultRowHeight="12.75" x14ac:dyDescent="0.2"/>
  <cols>
    <col min="1" max="1" width="58.85546875" style="2" bestFit="1" customWidth="1"/>
    <col min="2" max="2" width="15.28515625" style="2" customWidth="1"/>
    <col min="3" max="3" width="18" style="2" customWidth="1"/>
    <col min="4" max="4" width="17.5703125" style="2" customWidth="1"/>
    <col min="5" max="5" width="16.28515625" style="2" hidden="1" customWidth="1"/>
    <col min="6" max="6" width="14" style="2" hidden="1" customWidth="1"/>
    <col min="7" max="7" width="27.140625" style="504" hidden="1" customWidth="1"/>
    <col min="8" max="8" width="4.7109375" customWidth="1"/>
    <col min="12" max="12" width="12.140625" bestFit="1" customWidth="1"/>
    <col min="13" max="13" width="11" bestFit="1" customWidth="1"/>
  </cols>
  <sheetData>
    <row r="1" spans="1:13" ht="18" x14ac:dyDescent="0.25">
      <c r="A1" s="715" t="s">
        <v>32</v>
      </c>
      <c r="B1" s="716"/>
      <c r="C1" s="716"/>
      <c r="D1" s="716"/>
      <c r="E1" s="716"/>
      <c r="F1" s="716"/>
      <c r="G1" s="717"/>
    </row>
    <row r="2" spans="1:13" ht="23.25" x14ac:dyDescent="0.35">
      <c r="A2" s="718" t="s">
        <v>445</v>
      </c>
      <c r="B2" s="719"/>
      <c r="C2" s="719"/>
      <c r="D2" s="719"/>
      <c r="E2" s="719"/>
      <c r="F2" s="719"/>
      <c r="G2" s="720"/>
    </row>
    <row r="3" spans="1:13" ht="20.25" x14ac:dyDescent="0.3">
      <c r="A3" s="721" t="s">
        <v>512</v>
      </c>
      <c r="B3" s="722"/>
      <c r="C3" s="722"/>
      <c r="D3" s="723"/>
      <c r="E3" s="723"/>
      <c r="F3" s="723"/>
      <c r="G3" s="724"/>
    </row>
    <row r="4" spans="1:13" ht="15" customHeight="1" x14ac:dyDescent="0.25">
      <c r="A4" s="725" t="s">
        <v>528</v>
      </c>
      <c r="B4" s="726"/>
      <c r="C4" s="726"/>
      <c r="D4" s="727"/>
      <c r="E4" s="727"/>
      <c r="F4" s="727"/>
      <c r="G4" s="728"/>
      <c r="L4">
        <f>1275-1390</f>
        <v>-115</v>
      </c>
    </row>
    <row r="5" spans="1:13" ht="15" customHeight="1" x14ac:dyDescent="0.25">
      <c r="A5" s="616"/>
      <c r="B5" s="617"/>
      <c r="C5" s="617"/>
      <c r="D5" s="618"/>
      <c r="E5" s="618"/>
      <c r="F5" s="618"/>
      <c r="G5" s="619"/>
    </row>
    <row r="6" spans="1:13" ht="36.75" thickBot="1" x14ac:dyDescent="0.3">
      <c r="A6" s="263"/>
      <c r="B6" s="626" t="s">
        <v>459</v>
      </c>
      <c r="C6" s="626" t="s">
        <v>77</v>
      </c>
      <c r="D6" s="626" t="s">
        <v>456</v>
      </c>
      <c r="E6" s="456" t="s">
        <v>0</v>
      </c>
      <c r="F6" s="457" t="s">
        <v>9</v>
      </c>
      <c r="G6" s="283"/>
    </row>
    <row r="7" spans="1:13" ht="16.5" thickBot="1" x14ac:dyDescent="0.3">
      <c r="A7" s="675" t="s">
        <v>26</v>
      </c>
      <c r="B7" s="555" t="s">
        <v>447</v>
      </c>
      <c r="C7" s="544" t="s">
        <v>457</v>
      </c>
      <c r="D7" s="545">
        <v>2025</v>
      </c>
      <c r="E7" s="458"/>
      <c r="F7" s="459"/>
      <c r="G7" s="285" t="s">
        <v>329</v>
      </c>
    </row>
    <row r="8" spans="1:13" s="2" customFormat="1" ht="12.75" customHeight="1" x14ac:dyDescent="0.2">
      <c r="A8" s="137" t="s">
        <v>17</v>
      </c>
      <c r="B8" s="604">
        <f>+'Income Statement'!J5</f>
        <v>823222.03</v>
      </c>
      <c r="C8" s="450">
        <f>+'Income Statement'!O5</f>
        <v>879663.86</v>
      </c>
      <c r="D8" s="450">
        <f>(1390*50*12)+(50*150*12)</f>
        <v>924000</v>
      </c>
      <c r="E8" s="460">
        <v>18072</v>
      </c>
      <c r="F8" s="463">
        <v>2.4590163934426229E-2</v>
      </c>
      <c r="G8" s="285" t="s">
        <v>393</v>
      </c>
      <c r="I8" s="148"/>
      <c r="L8" s="694">
        <f>+C8-B8</f>
        <v>56441.829999999958</v>
      </c>
      <c r="M8" s="660"/>
    </row>
    <row r="9" spans="1:13" s="2" customFormat="1" x14ac:dyDescent="0.2">
      <c r="A9" s="137" t="s">
        <v>16</v>
      </c>
      <c r="B9" s="605">
        <f>+'Income Statement'!J6</f>
        <v>2741.78</v>
      </c>
      <c r="C9" s="450">
        <f>+'Income Statement'!O6</f>
        <v>2887.51</v>
      </c>
      <c r="D9" s="450">
        <v>3000</v>
      </c>
      <c r="E9" s="460">
        <v>0</v>
      </c>
      <c r="F9" s="463">
        <v>0</v>
      </c>
      <c r="G9" s="285"/>
      <c r="I9" s="148"/>
      <c r="L9" s="694">
        <f t="shared" ref="L9:L68" si="0">+C9-B9</f>
        <v>145.73000000000002</v>
      </c>
    </row>
    <row r="10" spans="1:13" s="2" customFormat="1" x14ac:dyDescent="0.2">
      <c r="A10" s="137" t="s">
        <v>94</v>
      </c>
      <c r="B10" s="605">
        <f>+'Income Statement'!J12</f>
        <v>84332.59</v>
      </c>
      <c r="C10" s="450">
        <f>+'Income Statement'!O12</f>
        <v>50990</v>
      </c>
      <c r="D10" s="450">
        <v>80000</v>
      </c>
      <c r="E10" s="460">
        <v>50000</v>
      </c>
      <c r="F10" s="463">
        <v>2</v>
      </c>
      <c r="G10" s="285"/>
      <c r="I10" s="148"/>
      <c r="L10" s="694">
        <f t="shared" si="0"/>
        <v>-33342.589999999997</v>
      </c>
    </row>
    <row r="11" spans="1:13" s="2" customFormat="1" x14ac:dyDescent="0.2">
      <c r="A11" s="137" t="s">
        <v>15</v>
      </c>
      <c r="B11" s="605">
        <f>+'Income Statement'!J14</f>
        <v>66146.03</v>
      </c>
      <c r="C11" s="450">
        <f>+'Income Statement'!O14</f>
        <v>103337.4</v>
      </c>
      <c r="D11" s="450">
        <v>110000</v>
      </c>
      <c r="E11" s="460">
        <v>1058.7999999999956</v>
      </c>
      <c r="F11" s="463">
        <v>1.9201613312731597E-2</v>
      </c>
      <c r="G11" s="285"/>
      <c r="I11" s="148"/>
      <c r="L11" s="694">
        <f t="shared" si="0"/>
        <v>37191.369999999995</v>
      </c>
      <c r="M11" s="661" t="s">
        <v>539</v>
      </c>
    </row>
    <row r="12" spans="1:13" s="2" customFormat="1" x14ac:dyDescent="0.2">
      <c r="A12" s="137" t="s">
        <v>19</v>
      </c>
      <c r="B12" s="605">
        <f>+'Income Statement'!J15</f>
        <v>1322.54</v>
      </c>
      <c r="C12" s="450">
        <f>+'Income Statement'!O15</f>
        <v>20618.060000000001</v>
      </c>
      <c r="D12" s="450">
        <v>15000</v>
      </c>
      <c r="E12" s="460">
        <v>100</v>
      </c>
      <c r="F12" s="463">
        <v>3.0303030303030304E-2</v>
      </c>
      <c r="G12" s="285"/>
      <c r="I12" s="148"/>
      <c r="L12" s="694">
        <f t="shared" si="0"/>
        <v>19295.52</v>
      </c>
    </row>
    <row r="13" spans="1:13" s="2" customFormat="1" x14ac:dyDescent="0.2">
      <c r="A13" s="137" t="s">
        <v>21</v>
      </c>
      <c r="B13" s="605">
        <f>+'Income Statement'!J16</f>
        <v>3832.39</v>
      </c>
      <c r="C13" s="450">
        <f>+'Income Statement'!O16</f>
        <v>2670.55</v>
      </c>
      <c r="D13" s="450">
        <v>3000</v>
      </c>
      <c r="E13" s="460">
        <v>82</v>
      </c>
      <c r="F13" s="463">
        <v>1.3625789298770355E-2</v>
      </c>
      <c r="G13" s="285"/>
      <c r="I13" s="148"/>
      <c r="L13" s="694">
        <f t="shared" si="0"/>
        <v>-1161.8399999999997</v>
      </c>
    </row>
    <row r="14" spans="1:13" s="2" customFormat="1" x14ac:dyDescent="0.2">
      <c r="A14" s="137" t="s">
        <v>72</v>
      </c>
      <c r="B14" s="605">
        <f>+'Income Statement'!J18</f>
        <v>0</v>
      </c>
      <c r="C14" s="450">
        <f>+'Income Statement'!O18</f>
        <v>0</v>
      </c>
      <c r="D14" s="450"/>
      <c r="E14" s="460">
        <v>-11000</v>
      </c>
      <c r="F14" s="463">
        <v>-0.52380952380952384</v>
      </c>
      <c r="G14" s="285" t="s">
        <v>387</v>
      </c>
      <c r="I14" s="148"/>
      <c r="L14" s="694">
        <f t="shared" si="0"/>
        <v>0</v>
      </c>
    </row>
    <row r="15" spans="1:13" s="2" customFormat="1" ht="13.5" thickBot="1" x14ac:dyDescent="0.25">
      <c r="A15" s="137" t="s">
        <v>83</v>
      </c>
      <c r="B15" s="606">
        <f>+'Income Statement'!J26</f>
        <v>667441.02</v>
      </c>
      <c r="C15" s="450">
        <f>+'Income Statement'!O26</f>
        <v>439280.364</v>
      </c>
      <c r="D15" s="450">
        <f>440000/4</f>
        <v>110000</v>
      </c>
      <c r="E15" s="460">
        <v>-28000</v>
      </c>
      <c r="F15" s="463">
        <v>-0.8</v>
      </c>
      <c r="G15" s="285"/>
      <c r="I15" s="148"/>
      <c r="L15" s="694">
        <f t="shared" si="0"/>
        <v>-228160.65600000002</v>
      </c>
      <c r="M15" s="661" t="s">
        <v>540</v>
      </c>
    </row>
    <row r="16" spans="1:13" ht="16.5" thickBot="1" x14ac:dyDescent="0.3">
      <c r="A16" s="438" t="s">
        <v>30</v>
      </c>
      <c r="B16" s="466">
        <f>SUM(B8:B15)</f>
        <v>1649038.3800000001</v>
      </c>
      <c r="C16" s="466">
        <f>SUM(C8:C15)</f>
        <v>1499447.7440000002</v>
      </c>
      <c r="D16" s="467">
        <f>SUM(D8:D15)</f>
        <v>1245000</v>
      </c>
      <c r="E16" s="468">
        <v>30312.799999999988</v>
      </c>
      <c r="F16" s="469">
        <v>3.4294873825528857E-2</v>
      </c>
      <c r="G16" s="285"/>
      <c r="H16" s="2"/>
      <c r="I16" s="148"/>
      <c r="L16" s="694">
        <f t="shared" si="0"/>
        <v>-149590.63599999994</v>
      </c>
    </row>
    <row r="17" spans="1:13" ht="13.5" thickBot="1" x14ac:dyDescent="0.25">
      <c r="A17" s="470"/>
      <c r="B17" s="251"/>
      <c r="C17" s="472"/>
      <c r="D17" s="674"/>
      <c r="E17" s="473"/>
      <c r="F17" s="474"/>
      <c r="G17" s="285"/>
      <c r="H17" s="2"/>
      <c r="L17" s="694">
        <f t="shared" si="0"/>
        <v>0</v>
      </c>
    </row>
    <row r="18" spans="1:13" ht="16.5" thickBot="1" x14ac:dyDescent="0.3">
      <c r="A18" s="676" t="s">
        <v>507</v>
      </c>
      <c r="B18" s="555" t="s">
        <v>447</v>
      </c>
      <c r="C18" s="607">
        <v>2024</v>
      </c>
      <c r="D18" s="607">
        <v>2025</v>
      </c>
      <c r="E18" s="477" t="s">
        <v>0</v>
      </c>
      <c r="F18" s="478" t="s">
        <v>9</v>
      </c>
      <c r="G18" s="285"/>
      <c r="H18" s="2"/>
      <c r="L18" s="694">
        <f t="shared" si="0"/>
        <v>1</v>
      </c>
    </row>
    <row r="19" spans="1:13" ht="13.5" thickBot="1" x14ac:dyDescent="0.25">
      <c r="A19" s="663" t="s">
        <v>505</v>
      </c>
      <c r="B19" s="664"/>
      <c r="C19" s="428"/>
      <c r="D19" s="665"/>
      <c r="E19" s="481"/>
      <c r="F19" s="482"/>
      <c r="G19" s="285"/>
      <c r="H19" s="2"/>
      <c r="L19" s="694">
        <f t="shared" si="0"/>
        <v>0</v>
      </c>
    </row>
    <row r="20" spans="1:13" x14ac:dyDescent="0.2">
      <c r="A20" s="432" t="s">
        <v>87</v>
      </c>
      <c r="B20" s="605">
        <f>+'Income Statement'!J37</f>
        <v>290.51</v>
      </c>
      <c r="C20" s="450">
        <f>+'Income Statement'!O37</f>
        <v>440.52000000000004</v>
      </c>
      <c r="D20" s="450">
        <v>500</v>
      </c>
      <c r="E20" s="471">
        <v>0</v>
      </c>
      <c r="F20" s="483">
        <v>0</v>
      </c>
      <c r="G20" s="285"/>
      <c r="H20" s="2"/>
      <c r="L20" s="694">
        <f t="shared" si="0"/>
        <v>150.01000000000005</v>
      </c>
    </row>
    <row r="21" spans="1:13" x14ac:dyDescent="0.2">
      <c r="A21" s="432" t="s">
        <v>22</v>
      </c>
      <c r="B21" s="605">
        <f>+'Income Statement'!J38</f>
        <v>450.16</v>
      </c>
      <c r="C21" s="450">
        <f>+'Income Statement'!O38</f>
        <v>540.28800000000001</v>
      </c>
      <c r="D21" s="450">
        <v>500</v>
      </c>
      <c r="E21" s="471"/>
      <c r="F21" s="483"/>
      <c r="G21" s="285"/>
      <c r="H21" s="2"/>
      <c r="L21" s="694">
        <f t="shared" si="0"/>
        <v>90.127999999999986</v>
      </c>
    </row>
    <row r="22" spans="1:13" x14ac:dyDescent="0.2">
      <c r="A22" s="432" t="s">
        <v>50</v>
      </c>
      <c r="B22" s="605">
        <f>+'Income Statement'!J39</f>
        <v>842.06</v>
      </c>
      <c r="C22" s="450">
        <f>+'Income Statement'!O39</f>
        <v>1294.548</v>
      </c>
      <c r="D22" s="450">
        <v>1000</v>
      </c>
      <c r="E22" s="471">
        <v>0</v>
      </c>
      <c r="F22" s="483">
        <v>0</v>
      </c>
      <c r="G22" s="285"/>
      <c r="H22" s="2"/>
      <c r="L22" s="694">
        <f t="shared" si="0"/>
        <v>452.48800000000006</v>
      </c>
    </row>
    <row r="23" spans="1:13" x14ac:dyDescent="0.2">
      <c r="A23" s="432" t="s">
        <v>24</v>
      </c>
      <c r="B23" s="605">
        <f>+'Income Statement'!J40</f>
        <v>17521.46</v>
      </c>
      <c r="C23" s="450">
        <f>+'Income Statement'!O40</f>
        <v>22600</v>
      </c>
      <c r="D23" s="450">
        <v>22600</v>
      </c>
      <c r="E23" s="471">
        <v>625.5</v>
      </c>
      <c r="F23" s="483">
        <v>3.9156155122226047E-2</v>
      </c>
      <c r="G23" s="285"/>
      <c r="H23" s="2"/>
      <c r="L23" s="694">
        <f t="shared" si="0"/>
        <v>5078.5400000000009</v>
      </c>
    </row>
    <row r="24" spans="1:13" x14ac:dyDescent="0.2">
      <c r="A24" s="677" t="s">
        <v>526</v>
      </c>
      <c r="B24" s="605">
        <f>+'Income Statement'!J34</f>
        <v>277920</v>
      </c>
      <c r="C24" s="450">
        <f>+'Income Statement'!O34</f>
        <v>321417.96000000002</v>
      </c>
      <c r="D24" s="450">
        <v>1057500</v>
      </c>
      <c r="E24" s="471"/>
      <c r="F24" s="483"/>
      <c r="G24" s="285"/>
      <c r="H24" s="2"/>
      <c r="L24" s="694">
        <f t="shared" si="0"/>
        <v>43497.960000000021</v>
      </c>
      <c r="M24" t="s">
        <v>530</v>
      </c>
    </row>
    <row r="25" spans="1:13" x14ac:dyDescent="0.2">
      <c r="A25" s="432" t="s">
        <v>85</v>
      </c>
      <c r="B25" s="605">
        <f>+'Income Statement'!J46</f>
        <v>7474.64</v>
      </c>
      <c r="C25" s="450">
        <f>+'Income Statement'!O46</f>
        <v>13977.52</v>
      </c>
      <c r="D25" s="450">
        <v>15000</v>
      </c>
      <c r="E25" s="471">
        <v>220</v>
      </c>
      <c r="F25" s="483">
        <v>2.3965141612200435E-2</v>
      </c>
      <c r="G25" s="285" t="s">
        <v>245</v>
      </c>
      <c r="H25" s="2"/>
      <c r="L25" s="694">
        <f t="shared" si="0"/>
        <v>6502.88</v>
      </c>
    </row>
    <row r="26" spans="1:13" x14ac:dyDescent="0.2">
      <c r="A26" s="432" t="s">
        <v>25</v>
      </c>
      <c r="B26" s="605">
        <f>+'Income Statement'!J47</f>
        <v>633</v>
      </c>
      <c r="C26" s="450">
        <f>+'Income Statement'!O47</f>
        <v>0</v>
      </c>
      <c r="D26" s="450">
        <v>700</v>
      </c>
      <c r="E26" s="471">
        <v>4000</v>
      </c>
      <c r="F26" s="483">
        <v>4</v>
      </c>
      <c r="G26" s="285" t="s">
        <v>411</v>
      </c>
      <c r="H26" s="2"/>
      <c r="L26" s="694">
        <f t="shared" si="0"/>
        <v>-633</v>
      </c>
    </row>
    <row r="27" spans="1:13" x14ac:dyDescent="0.2">
      <c r="A27" s="432" t="s">
        <v>2</v>
      </c>
      <c r="B27" s="605">
        <f>+'Income Statement'!J56</f>
        <v>15355.02</v>
      </c>
      <c r="C27" s="450">
        <f>+'Income Statement'!O56</f>
        <v>23004.252</v>
      </c>
      <c r="D27" s="450">
        <v>17000</v>
      </c>
      <c r="E27" s="471">
        <v>320</v>
      </c>
      <c r="F27" s="483">
        <v>2.2408963585434174E-2</v>
      </c>
      <c r="G27" s="285"/>
      <c r="H27" s="2"/>
      <c r="L27" s="694">
        <f t="shared" si="0"/>
        <v>7649.232</v>
      </c>
      <c r="M27" t="s">
        <v>531</v>
      </c>
    </row>
    <row r="28" spans="1:13" x14ac:dyDescent="0.2">
      <c r="A28" s="432" t="s">
        <v>84</v>
      </c>
      <c r="B28" s="605">
        <f>+'Income Statement'!J71</f>
        <v>211988.36</v>
      </c>
      <c r="C28" s="450">
        <f>+'Income Statement'!O62+'Income Statement'!O69</f>
        <v>185437.356</v>
      </c>
      <c r="D28" s="450">
        <f>ROUND(215000*1.035, -3)+80000</f>
        <v>303000</v>
      </c>
      <c r="E28" s="471">
        <v>-204000</v>
      </c>
      <c r="F28" s="483">
        <v>-1</v>
      </c>
      <c r="G28" s="285" t="s">
        <v>388</v>
      </c>
      <c r="H28" s="2"/>
      <c r="L28" s="694">
        <f t="shared" si="0"/>
        <v>-26551.003999999986</v>
      </c>
      <c r="M28" t="s">
        <v>534</v>
      </c>
    </row>
    <row r="29" spans="1:13" ht="13.5" customHeight="1" x14ac:dyDescent="0.2">
      <c r="A29" s="432" t="s">
        <v>86</v>
      </c>
      <c r="B29" s="605">
        <f>+'Income Statement'!J76</f>
        <v>107610.75</v>
      </c>
      <c r="C29" s="450">
        <f>+'Income Statement'!O76</f>
        <v>126537.144</v>
      </c>
      <c r="D29" s="450">
        <v>120000</v>
      </c>
      <c r="E29" s="471">
        <v>-10000</v>
      </c>
      <c r="F29" s="483">
        <v>-0.35714285714285715</v>
      </c>
      <c r="G29" s="285" t="s">
        <v>394</v>
      </c>
      <c r="H29" s="2"/>
      <c r="L29" s="694">
        <f t="shared" si="0"/>
        <v>18926.394</v>
      </c>
    </row>
    <row r="30" spans="1:13" ht="13.5" customHeight="1" x14ac:dyDescent="0.2">
      <c r="A30" s="677" t="s">
        <v>541</v>
      </c>
      <c r="B30" s="605"/>
      <c r="C30" s="450"/>
      <c r="D30" s="450">
        <f>42000+42000+32000+22000+22000+22000+22000</f>
        <v>204000</v>
      </c>
      <c r="E30" s="471"/>
      <c r="F30" s="483"/>
      <c r="G30" s="285"/>
      <c r="H30" s="2"/>
      <c r="L30" s="694"/>
    </row>
    <row r="31" spans="1:13" x14ac:dyDescent="0.2">
      <c r="A31" s="432" t="s">
        <v>239</v>
      </c>
      <c r="B31" s="605">
        <f>+'Income Statement'!J77</f>
        <v>2930.13</v>
      </c>
      <c r="C31" s="450">
        <f>+'Income Statement'!O77</f>
        <v>762</v>
      </c>
      <c r="D31" s="450">
        <v>4000</v>
      </c>
      <c r="E31" s="471">
        <v>200</v>
      </c>
      <c r="F31" s="483">
        <v>0.1111111111111111</v>
      </c>
      <c r="G31" s="285" t="s">
        <v>328</v>
      </c>
      <c r="H31" s="2"/>
      <c r="L31" s="694">
        <f t="shared" si="0"/>
        <v>-2168.13</v>
      </c>
    </row>
    <row r="32" spans="1:13" x14ac:dyDescent="0.2">
      <c r="A32" s="432" t="s">
        <v>23</v>
      </c>
      <c r="B32" s="605">
        <f>+'Income Statement'!J78</f>
        <v>2238.08</v>
      </c>
      <c r="C32" s="450">
        <f>+'Income Statement'!O78</f>
        <v>3483</v>
      </c>
      <c r="D32" s="450">
        <v>3000</v>
      </c>
      <c r="E32" s="471">
        <v>64</v>
      </c>
      <c r="F32" s="483">
        <v>3.4858387799564274E-2</v>
      </c>
      <c r="G32" s="285"/>
      <c r="H32" s="2"/>
      <c r="L32" s="694">
        <f t="shared" si="0"/>
        <v>1244.92</v>
      </c>
    </row>
    <row r="33" spans="1:13" ht="13.5" thickBot="1" x14ac:dyDescent="0.25">
      <c r="A33" s="432" t="s">
        <v>31</v>
      </c>
      <c r="B33" s="606">
        <f>+'Income Statement'!J85</f>
        <v>8242.23</v>
      </c>
      <c r="C33" s="450">
        <f>+'Income Statement'!O85</f>
        <v>10369.596</v>
      </c>
      <c r="D33" s="450">
        <v>10500</v>
      </c>
      <c r="E33" s="471">
        <v>200</v>
      </c>
      <c r="F33" s="483">
        <v>2.8571428571428571E-2</v>
      </c>
      <c r="G33" s="285"/>
      <c r="H33" s="2"/>
      <c r="L33" s="694">
        <f t="shared" si="0"/>
        <v>2127.366</v>
      </c>
    </row>
    <row r="34" spans="1:13" ht="16.5" thickBot="1" x14ac:dyDescent="0.3">
      <c r="A34" s="667" t="s">
        <v>48</v>
      </c>
      <c r="B34" s="666">
        <f>SUM(B20:B33)</f>
        <v>653496.39999999991</v>
      </c>
      <c r="C34" s="666">
        <f>SUM(C20:C33)</f>
        <v>709864.18400000001</v>
      </c>
      <c r="D34" s="666">
        <f>SUM(D20:D33)</f>
        <v>1759300</v>
      </c>
      <c r="E34" s="468">
        <v>-208370.5</v>
      </c>
      <c r="F34" s="469">
        <v>-0.72333161500396603</v>
      </c>
      <c r="G34" s="285"/>
      <c r="H34" s="2"/>
      <c r="I34" s="148"/>
      <c r="L34" s="694">
        <f t="shared" si="0"/>
        <v>56367.784000000102</v>
      </c>
    </row>
    <row r="35" spans="1:13" ht="14.25" thickTop="1" thickBot="1" x14ac:dyDescent="0.25">
      <c r="A35" s="204"/>
      <c r="B35" s="251"/>
      <c r="C35" s="485"/>
      <c r="D35" s="485"/>
      <c r="E35" s="486"/>
      <c r="F35" s="474"/>
      <c r="G35" s="285"/>
      <c r="H35" s="2"/>
      <c r="L35" s="694">
        <f t="shared" si="0"/>
        <v>0</v>
      </c>
    </row>
    <row r="36" spans="1:13" x14ac:dyDescent="0.2">
      <c r="A36" s="662" t="s">
        <v>508</v>
      </c>
      <c r="B36" s="602"/>
      <c r="C36" s="462"/>
      <c r="D36" s="450"/>
      <c r="E36" s="471"/>
      <c r="F36" s="483"/>
      <c r="G36" s="285"/>
      <c r="H36" s="2"/>
      <c r="L36" s="694">
        <f t="shared" si="0"/>
        <v>0</v>
      </c>
    </row>
    <row r="37" spans="1:13" x14ac:dyDescent="0.2">
      <c r="A37" s="436" t="s">
        <v>44</v>
      </c>
      <c r="B37" s="603"/>
      <c r="C37" s="450"/>
      <c r="D37" s="450"/>
      <c r="E37" s="471">
        <v>70</v>
      </c>
      <c r="F37" s="483">
        <v>4.046242774566474E-2</v>
      </c>
      <c r="G37" s="285"/>
      <c r="H37" s="2"/>
      <c r="L37" s="694">
        <f t="shared" si="0"/>
        <v>0</v>
      </c>
    </row>
    <row r="38" spans="1:13" x14ac:dyDescent="0.2">
      <c r="A38" s="432" t="s">
        <v>418</v>
      </c>
      <c r="B38" s="605">
        <f>+'Income Statement'!J89</f>
        <v>691.22</v>
      </c>
      <c r="C38" s="450">
        <f>+'Income Statement'!O89</f>
        <v>1052.328</v>
      </c>
      <c r="D38" s="450">
        <v>2500</v>
      </c>
      <c r="E38" s="471">
        <v>76</v>
      </c>
      <c r="F38" s="483">
        <v>6.2091503267973858E-2</v>
      </c>
      <c r="G38" s="285"/>
      <c r="L38" s="694">
        <f t="shared" si="0"/>
        <v>361.10799999999995</v>
      </c>
    </row>
    <row r="39" spans="1:13" x14ac:dyDescent="0.2">
      <c r="A39" s="432" t="s">
        <v>33</v>
      </c>
      <c r="B39" s="605"/>
      <c r="C39" s="450"/>
      <c r="D39" s="450"/>
      <c r="E39" s="471">
        <v>1200</v>
      </c>
      <c r="F39" s="483">
        <v>1.5</v>
      </c>
      <c r="G39" s="285" t="s">
        <v>247</v>
      </c>
      <c r="L39" s="694">
        <f t="shared" si="0"/>
        <v>0</v>
      </c>
    </row>
    <row r="40" spans="1:13" x14ac:dyDescent="0.2">
      <c r="A40" s="432" t="s">
        <v>34</v>
      </c>
      <c r="B40" s="605">
        <f>+'Income Statement'!J91</f>
        <v>887.11</v>
      </c>
      <c r="C40" s="450">
        <f>+'Income Statement'!O91</f>
        <v>1888.2359999999999</v>
      </c>
      <c r="D40" s="450">
        <v>15000</v>
      </c>
      <c r="E40" s="471">
        <v>400</v>
      </c>
      <c r="F40" s="483">
        <v>0.02</v>
      </c>
      <c r="G40" s="285" t="s">
        <v>332</v>
      </c>
      <c r="L40" s="694">
        <f t="shared" si="0"/>
        <v>1001.1259999999999</v>
      </c>
      <c r="M40" t="s">
        <v>533</v>
      </c>
    </row>
    <row r="41" spans="1:13" x14ac:dyDescent="0.2">
      <c r="A41" s="432" t="s">
        <v>437</v>
      </c>
      <c r="B41" s="605">
        <f>+'Income Statement'!J92</f>
        <v>560.38</v>
      </c>
      <c r="C41" s="450">
        <f>+'Income Statement'!O92</f>
        <v>653.60399999999993</v>
      </c>
      <c r="D41" s="450">
        <v>1500</v>
      </c>
      <c r="E41" s="471">
        <v>0</v>
      </c>
      <c r="F41" s="483">
        <v>0</v>
      </c>
      <c r="G41" s="285"/>
      <c r="L41" s="694">
        <f t="shared" si="0"/>
        <v>93.223999999999933</v>
      </c>
    </row>
    <row r="42" spans="1:13" x14ac:dyDescent="0.2">
      <c r="A42" s="432"/>
      <c r="B42" s="605"/>
      <c r="C42" s="450"/>
      <c r="D42" s="450"/>
      <c r="E42" s="471"/>
      <c r="F42" s="483"/>
      <c r="G42" s="285"/>
      <c r="L42" s="694">
        <f t="shared" si="0"/>
        <v>0</v>
      </c>
    </row>
    <row r="43" spans="1:13" x14ac:dyDescent="0.2">
      <c r="A43" s="436" t="s">
        <v>43</v>
      </c>
      <c r="B43" s="600"/>
      <c r="C43" s="450"/>
      <c r="D43" s="450"/>
      <c r="E43" s="471">
        <v>100</v>
      </c>
      <c r="F43" s="483">
        <v>2.2222222222222223E-2</v>
      </c>
      <c r="G43" s="285" t="s">
        <v>333</v>
      </c>
      <c r="L43" s="694">
        <f t="shared" si="0"/>
        <v>0</v>
      </c>
    </row>
    <row r="44" spans="1:13" x14ac:dyDescent="0.2">
      <c r="A44" s="432" t="s">
        <v>39</v>
      </c>
      <c r="B44" s="605">
        <f>+'Income Statement'!J95</f>
        <v>12153.31</v>
      </c>
      <c r="C44" s="450">
        <f>+'Income Statement'!O95</f>
        <v>19672.5</v>
      </c>
      <c r="D44" s="450">
        <f>25000*0.75</f>
        <v>18750</v>
      </c>
      <c r="E44" s="471">
        <v>2000</v>
      </c>
      <c r="F44" s="483">
        <v>0.33333333333333331</v>
      </c>
      <c r="G44" s="285" t="s">
        <v>334</v>
      </c>
      <c r="L44" s="694">
        <f t="shared" si="0"/>
        <v>7519.1900000000005</v>
      </c>
      <c r="M44" s="2"/>
    </row>
    <row r="45" spans="1:13" x14ac:dyDescent="0.2">
      <c r="A45" s="432" t="s">
        <v>51</v>
      </c>
      <c r="B45" s="605">
        <f>+'Income Statement'!J96</f>
        <v>5132.68</v>
      </c>
      <c r="C45" s="450">
        <f>+'Income Statement'!O96</f>
        <v>900</v>
      </c>
      <c r="D45" s="450">
        <v>10000</v>
      </c>
      <c r="E45" s="471">
        <v>900</v>
      </c>
      <c r="F45" s="483">
        <v>8.4905660377358486E-2</v>
      </c>
      <c r="G45" s="285"/>
      <c r="L45" s="694">
        <f t="shared" si="0"/>
        <v>-4232.68</v>
      </c>
    </row>
    <row r="46" spans="1:13" x14ac:dyDescent="0.2">
      <c r="A46" s="432" t="s">
        <v>29</v>
      </c>
      <c r="B46" s="605">
        <f>+'Income Statement'!J97</f>
        <v>3664.68</v>
      </c>
      <c r="C46" s="450">
        <f>+'Income Statement'!O97</f>
        <v>3277.4760000000001</v>
      </c>
      <c r="D46" s="450">
        <v>5000</v>
      </c>
      <c r="E46" s="471">
        <v>500</v>
      </c>
      <c r="F46" s="483">
        <v>1.7857142857142856E-2</v>
      </c>
      <c r="G46" s="285" t="s">
        <v>412</v>
      </c>
      <c r="L46" s="694">
        <f t="shared" si="0"/>
        <v>-387.20399999999972</v>
      </c>
    </row>
    <row r="47" spans="1:13" x14ac:dyDescent="0.2">
      <c r="A47" s="432" t="s">
        <v>36</v>
      </c>
      <c r="B47" s="605">
        <f>+'Income Statement'!J98</f>
        <v>7371</v>
      </c>
      <c r="C47" s="450">
        <f>+'Income Statement'!O98</f>
        <v>7299.0720000000001</v>
      </c>
      <c r="D47" s="450">
        <v>10000</v>
      </c>
      <c r="E47" s="471">
        <v>640</v>
      </c>
      <c r="F47" s="483">
        <v>2.2408963585434174E-2</v>
      </c>
      <c r="G47" s="285" t="s">
        <v>335</v>
      </c>
      <c r="L47" s="694">
        <f t="shared" si="0"/>
        <v>-71.927999999999884</v>
      </c>
    </row>
    <row r="48" spans="1:13" x14ac:dyDescent="0.2">
      <c r="A48" s="432" t="s">
        <v>437</v>
      </c>
      <c r="B48" s="605">
        <f>+'Income Statement'!J99</f>
        <v>9480.23</v>
      </c>
      <c r="C48" s="450">
        <f>+'Income Statement'!O99</f>
        <v>814.2</v>
      </c>
      <c r="D48" s="450">
        <v>10000</v>
      </c>
      <c r="E48" s="471">
        <v>900</v>
      </c>
      <c r="F48" s="483">
        <v>1.9607843137254902E-2</v>
      </c>
      <c r="G48" s="285" t="s">
        <v>336</v>
      </c>
      <c r="L48" s="694">
        <f t="shared" si="0"/>
        <v>-8666.0299999999988</v>
      </c>
    </row>
    <row r="49" spans="1:13" x14ac:dyDescent="0.2">
      <c r="A49" s="432" t="s">
        <v>37</v>
      </c>
      <c r="B49" s="605">
        <f>+'Income Statement'!J100</f>
        <v>17489.86</v>
      </c>
      <c r="C49" s="450">
        <f>+'Income Statement'!O100</f>
        <v>20349.54</v>
      </c>
      <c r="D49" s="450">
        <v>30000</v>
      </c>
      <c r="E49" s="471">
        <v>2000</v>
      </c>
      <c r="F49" s="483">
        <v>0.66666666666666663</v>
      </c>
      <c r="G49" s="285" t="s">
        <v>247</v>
      </c>
      <c r="L49" s="694">
        <f t="shared" si="0"/>
        <v>2859.6800000000003</v>
      </c>
    </row>
    <row r="50" spans="1:13" x14ac:dyDescent="0.2">
      <c r="A50" s="436" t="s">
        <v>42</v>
      </c>
      <c r="B50" s="605"/>
      <c r="C50" s="450"/>
      <c r="D50" s="450"/>
      <c r="E50" s="471" t="e">
        <v>#REF!</v>
      </c>
      <c r="F50" s="483" t="e">
        <v>#REF!</v>
      </c>
      <c r="G50" s="285"/>
      <c r="L50" s="694">
        <f t="shared" si="0"/>
        <v>0</v>
      </c>
    </row>
    <row r="51" spans="1:13" ht="13.5" thickBot="1" x14ac:dyDescent="0.25">
      <c r="A51" s="432" t="s">
        <v>41</v>
      </c>
      <c r="B51" s="605">
        <f>+'Income Statement'!J103</f>
        <v>650</v>
      </c>
      <c r="C51" s="450">
        <f>+'Income Statement'!O103</f>
        <v>80049.12000000001</v>
      </c>
      <c r="D51" s="450">
        <v>125000</v>
      </c>
      <c r="E51" s="471">
        <v>100</v>
      </c>
      <c r="F51" s="483">
        <v>2.5000000000000001E-2</v>
      </c>
      <c r="G51" s="285"/>
      <c r="L51" s="694">
        <f t="shared" si="0"/>
        <v>79399.12000000001</v>
      </c>
      <c r="M51" t="s">
        <v>529</v>
      </c>
    </row>
    <row r="52" spans="1:13" s="104" customFormat="1" ht="15" customHeight="1" thickBot="1" x14ac:dyDescent="0.25">
      <c r="A52" s="432" t="s">
        <v>28</v>
      </c>
      <c r="B52" s="605">
        <f>+'Income Statement'!J104</f>
        <v>68499.34</v>
      </c>
      <c r="C52" s="450">
        <f>+'Income Statement'!O104</f>
        <v>54322.596000000005</v>
      </c>
      <c r="D52" s="450">
        <v>150000</v>
      </c>
      <c r="E52" s="489">
        <v>8636</v>
      </c>
      <c r="F52" s="490">
        <v>5.150777745968127E-2</v>
      </c>
      <c r="G52" s="303"/>
      <c r="L52" s="694">
        <f t="shared" si="0"/>
        <v>-14176.743999999992</v>
      </c>
      <c r="M52" s="104" t="s">
        <v>535</v>
      </c>
    </row>
    <row r="53" spans="1:13" s="104" customFormat="1" ht="15" customHeight="1" thickBot="1" x14ac:dyDescent="0.25">
      <c r="A53" s="432" t="s">
        <v>419</v>
      </c>
      <c r="B53" s="605"/>
      <c r="C53" s="450"/>
      <c r="D53" s="450"/>
      <c r="E53" s="489"/>
      <c r="F53" s="493"/>
      <c r="G53" s="303"/>
      <c r="L53" s="694">
        <f t="shared" si="0"/>
        <v>0</v>
      </c>
    </row>
    <row r="54" spans="1:13" s="104" customFormat="1" ht="15" customHeight="1" thickBot="1" x14ac:dyDescent="0.25">
      <c r="A54" s="432" t="s">
        <v>52</v>
      </c>
      <c r="B54" s="605">
        <f>+'Income Statement'!J105</f>
        <v>6029.99</v>
      </c>
      <c r="C54" s="450">
        <f>+'Income Statement'!O105</f>
        <v>34.368000000000002</v>
      </c>
      <c r="D54" s="450">
        <v>10000</v>
      </c>
      <c r="E54" s="489">
        <v>75000</v>
      </c>
      <c r="F54" s="494">
        <v>0.33333333333333331</v>
      </c>
      <c r="G54" s="285" t="s">
        <v>395</v>
      </c>
      <c r="H54" s="329"/>
      <c r="L54" s="694">
        <f t="shared" si="0"/>
        <v>-5995.6219999999994</v>
      </c>
      <c r="M54" s="104" t="s">
        <v>536</v>
      </c>
    </row>
    <row r="55" spans="1:13" s="104" customFormat="1" ht="15" customHeight="1" thickBot="1" x14ac:dyDescent="0.25">
      <c r="A55" s="432" t="s">
        <v>437</v>
      </c>
      <c r="B55" s="605">
        <f>+'Income Statement'!J106</f>
        <v>172.69</v>
      </c>
      <c r="C55" s="450">
        <f>+'Income Statement'!O106</f>
        <v>0</v>
      </c>
      <c r="D55" s="450">
        <v>1000</v>
      </c>
      <c r="E55" s="489"/>
      <c r="F55" s="494"/>
      <c r="G55" s="285"/>
      <c r="H55" s="329"/>
      <c r="L55" s="694">
        <f t="shared" si="0"/>
        <v>-172.69</v>
      </c>
    </row>
    <row r="56" spans="1:13" s="104" customFormat="1" ht="15" customHeight="1" thickBot="1" x14ac:dyDescent="0.25">
      <c r="A56" s="432" t="s">
        <v>20</v>
      </c>
      <c r="B56" s="605">
        <f>+'Income Statement'!J107</f>
        <v>586.55999999999995</v>
      </c>
      <c r="C56" s="450">
        <f>+'Income Statement'!O107</f>
        <v>0</v>
      </c>
      <c r="D56" s="450">
        <v>1000</v>
      </c>
      <c r="E56" s="495"/>
      <c r="F56" s="490"/>
      <c r="G56" s="303"/>
      <c r="L56" s="694">
        <f t="shared" si="0"/>
        <v>-586.55999999999995</v>
      </c>
    </row>
    <row r="57" spans="1:13" s="104" customFormat="1" ht="15" customHeight="1" thickBot="1" x14ac:dyDescent="0.25">
      <c r="A57" s="436"/>
      <c r="B57" s="605"/>
      <c r="C57" s="450"/>
      <c r="D57" s="450"/>
      <c r="E57" s="668"/>
      <c r="F57" s="500"/>
      <c r="G57" s="303"/>
      <c r="L57" s="694"/>
    </row>
    <row r="58" spans="1:13" s="104" customFormat="1" ht="14.25" customHeight="1" thickBot="1" x14ac:dyDescent="0.25">
      <c r="A58" s="677"/>
      <c r="B58" s="603"/>
      <c r="C58" s="450"/>
      <c r="D58" s="450"/>
      <c r="E58" s="487">
        <v>30312.800000000047</v>
      </c>
      <c r="F58" s="500">
        <v>3.429487382552892E-2</v>
      </c>
      <c r="G58" s="303"/>
      <c r="L58" s="694">
        <f t="shared" si="0"/>
        <v>0</v>
      </c>
    </row>
    <row r="59" spans="1:13" s="104" customFormat="1" ht="14.25" customHeight="1" thickBot="1" x14ac:dyDescent="0.3">
      <c r="A59" s="438" t="s">
        <v>47</v>
      </c>
      <c r="B59" s="673">
        <f>SUM(B38:B58)</f>
        <v>133369.04999999999</v>
      </c>
      <c r="C59" s="673">
        <f>SUM(C36:C56)</f>
        <v>190313.04</v>
      </c>
      <c r="D59" s="673">
        <f>SUM(D38:D58)</f>
        <v>389750</v>
      </c>
      <c r="E59" s="487">
        <v>90965.5</v>
      </c>
      <c r="F59" s="497">
        <v>0.13362845573421062</v>
      </c>
      <c r="G59" s="303"/>
      <c r="L59" s="694">
        <f t="shared" si="0"/>
        <v>56943.99000000002</v>
      </c>
    </row>
    <row r="60" spans="1:13" s="104" customFormat="1" ht="16.5" thickBot="1" x14ac:dyDescent="0.3">
      <c r="A60" s="324"/>
      <c r="B60" s="251"/>
      <c r="C60" s="492"/>
      <c r="D60" s="672"/>
      <c r="G60" s="669"/>
      <c r="L60" s="694">
        <f t="shared" si="0"/>
        <v>0</v>
      </c>
    </row>
    <row r="61" spans="1:13" s="104" customFormat="1" ht="16.5" thickBot="1" x14ac:dyDescent="0.3">
      <c r="A61" s="441" t="s">
        <v>391</v>
      </c>
      <c r="B61" s="601">
        <f>+'Income Statement'!J110</f>
        <v>188859.76</v>
      </c>
      <c r="C61" s="442">
        <f>+'Income Statement'!O110</f>
        <v>190000</v>
      </c>
      <c r="D61" s="519">
        <f>ROUND(200000+(29000000/30),-3)</f>
        <v>1167000</v>
      </c>
      <c r="E61" s="487">
        <v>-60652.699999999953</v>
      </c>
      <c r="F61" s="500"/>
      <c r="G61" s="303"/>
      <c r="L61" s="694">
        <f t="shared" si="0"/>
        <v>1140.2399999999907</v>
      </c>
      <c r="M61" s="104" t="s">
        <v>537</v>
      </c>
    </row>
    <row r="62" spans="1:13" s="104" customFormat="1" ht="16.5" thickBot="1" x14ac:dyDescent="0.3">
      <c r="A62" s="583"/>
      <c r="C62" s="443"/>
      <c r="D62" s="158"/>
      <c r="E62" s="452" t="e">
        <f>D68-#REF!</f>
        <v>#REF!</v>
      </c>
      <c r="F62" s="490"/>
      <c r="G62" s="670" t="s">
        <v>389</v>
      </c>
      <c r="L62" s="694">
        <f t="shared" si="0"/>
        <v>0</v>
      </c>
    </row>
    <row r="63" spans="1:13" ht="16.5" thickBot="1" x14ac:dyDescent="0.3">
      <c r="A63" s="584" t="s">
        <v>64</v>
      </c>
      <c r="B63" s="520">
        <f>+B16</f>
        <v>1649038.3800000001</v>
      </c>
      <c r="C63" s="520">
        <f>+C16</f>
        <v>1499447.7440000002</v>
      </c>
      <c r="D63" s="520">
        <f>+D16</f>
        <v>1245000</v>
      </c>
      <c r="I63" s="148"/>
      <c r="L63" s="694">
        <f t="shared" si="0"/>
        <v>-149590.63599999994</v>
      </c>
    </row>
    <row r="64" spans="1:13" ht="16.5" thickBot="1" x14ac:dyDescent="0.3">
      <c r="A64" s="566" t="s">
        <v>14</v>
      </c>
      <c r="B64" s="499">
        <f>+B59+B61+B34</f>
        <v>975725.21</v>
      </c>
      <c r="C64" s="499">
        <f>+C59+C61+C34</f>
        <v>1090177.2239999999</v>
      </c>
      <c r="D64" s="499">
        <f>+D59+D61+D34</f>
        <v>3316050</v>
      </c>
      <c r="I64" s="148"/>
      <c r="L64" s="694">
        <f t="shared" si="0"/>
        <v>114452.01399999997</v>
      </c>
    </row>
    <row r="65" spans="1:12" ht="15.75" thickBot="1" x14ac:dyDescent="0.25">
      <c r="A65" s="331"/>
      <c r="B65" s="251"/>
      <c r="C65" s="104"/>
      <c r="D65" s="671"/>
      <c r="L65" s="694">
        <f t="shared" si="0"/>
        <v>0</v>
      </c>
    </row>
    <row r="66" spans="1:12" ht="16.5" thickBot="1" x14ac:dyDescent="0.3">
      <c r="A66" s="515" t="s">
        <v>510</v>
      </c>
      <c r="B66" s="519"/>
      <c r="C66" s="519"/>
      <c r="D66" s="519">
        <f>D63-D64</f>
        <v>-2071050</v>
      </c>
      <c r="L66" s="694"/>
    </row>
    <row r="67" spans="1:12" ht="16.5" thickBot="1" x14ac:dyDescent="0.3">
      <c r="A67" s="515" t="s">
        <v>344</v>
      </c>
      <c r="B67" s="519">
        <f>B63-B64</f>
        <v>673313.17000000016</v>
      </c>
      <c r="C67" s="519">
        <f>C63-C64</f>
        <v>409270.52000000025</v>
      </c>
      <c r="D67" s="519">
        <v>0</v>
      </c>
      <c r="L67" s="694">
        <f t="shared" si="0"/>
        <v>-264042.64999999991</v>
      </c>
    </row>
    <row r="68" spans="1:12" ht="16.5" thickBot="1" x14ac:dyDescent="0.3">
      <c r="A68" s="334" t="s">
        <v>59</v>
      </c>
      <c r="B68" s="520">
        <f>+B63-B64-B67</f>
        <v>0</v>
      </c>
      <c r="C68" s="520">
        <f>+C63-C64-C67</f>
        <v>0</v>
      </c>
      <c r="D68" s="520">
        <f>+D63-D64-D67-D66</f>
        <v>0</v>
      </c>
      <c r="L68" s="694">
        <f t="shared" si="0"/>
        <v>0</v>
      </c>
    </row>
    <row r="69" spans="1:12" x14ac:dyDescent="0.2">
      <c r="B69" s="251"/>
    </row>
  </sheetData>
  <mergeCells count="4">
    <mergeCell ref="A1:G1"/>
    <mergeCell ref="A2:G2"/>
    <mergeCell ref="A3:G3"/>
    <mergeCell ref="A4:G4"/>
  </mergeCells>
  <pageMargins left="0.4" right="0.2" top="0.6" bottom="0.5" header="0.3" footer="0.3"/>
  <pageSetup scale="78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O113"/>
  <sheetViews>
    <sheetView showGridLines="0" zoomScale="85" zoomScaleNormal="85" workbookViewId="0">
      <selection activeCell="D29" sqref="D29"/>
    </sheetView>
  </sheetViews>
  <sheetFormatPr defaultRowHeight="12.75" x14ac:dyDescent="0.2"/>
  <cols>
    <col min="2" max="2" width="55" customWidth="1"/>
    <col min="3" max="3" width="17.42578125" bestFit="1" customWidth="1"/>
    <col min="4" max="4" width="17.28515625" bestFit="1" customWidth="1"/>
    <col min="5" max="5" width="14" bestFit="1" customWidth="1"/>
    <col min="6" max="6" width="10.85546875" customWidth="1"/>
    <col min="7" max="7" width="1.28515625" customWidth="1"/>
    <col min="9" max="9" width="37.5703125" customWidth="1"/>
    <col min="10" max="10" width="10.140625" bestFit="1" customWidth="1"/>
    <col min="11" max="11" width="34.42578125" bestFit="1" customWidth="1"/>
    <col min="12" max="12" width="10.28515625" bestFit="1" customWidth="1"/>
    <col min="13" max="13" width="12.28515625" bestFit="1" customWidth="1"/>
    <col min="14" max="14" width="12" bestFit="1" customWidth="1"/>
    <col min="15" max="15" width="12.28515625" bestFit="1" customWidth="1"/>
    <col min="17" max="17" width="12.28515625" bestFit="1" customWidth="1"/>
    <col min="19" max="19" width="12.28515625" bestFit="1" customWidth="1"/>
  </cols>
  <sheetData>
    <row r="1" spans="2:10" ht="18" x14ac:dyDescent="0.25">
      <c r="B1" s="736" t="s">
        <v>32</v>
      </c>
      <c r="C1" s="736"/>
      <c r="D1" s="736"/>
      <c r="E1" s="736"/>
      <c r="F1" s="736"/>
      <c r="I1" s="2"/>
    </row>
    <row r="2" spans="2:10" ht="23.25" x14ac:dyDescent="0.35">
      <c r="B2" s="719" t="s">
        <v>62</v>
      </c>
      <c r="C2" s="719"/>
      <c r="D2" s="719"/>
      <c r="E2" s="719"/>
      <c r="F2" s="719"/>
      <c r="I2" s="2"/>
    </row>
    <row r="3" spans="2:10" ht="20.25" x14ac:dyDescent="0.3">
      <c r="B3" s="722" t="s">
        <v>75</v>
      </c>
      <c r="C3" s="723"/>
      <c r="D3" s="723"/>
      <c r="E3" s="723"/>
      <c r="F3" s="723"/>
      <c r="I3" s="2"/>
    </row>
    <row r="4" spans="2:10" ht="24" customHeight="1" x14ac:dyDescent="0.3">
      <c r="B4" s="737" t="s">
        <v>78</v>
      </c>
      <c r="C4" s="738"/>
      <c r="D4" s="738"/>
      <c r="E4" s="738"/>
      <c r="F4" s="738"/>
      <c r="I4" s="2"/>
    </row>
    <row r="5" spans="2:10" ht="15.75" x14ac:dyDescent="0.25">
      <c r="C5" s="23"/>
      <c r="D5" s="23"/>
      <c r="E5" s="8"/>
      <c r="F5" s="6"/>
      <c r="I5" s="2"/>
    </row>
    <row r="6" spans="2:10" ht="13.5" thickBot="1" x14ac:dyDescent="0.25">
      <c r="C6" s="24" t="s">
        <v>12</v>
      </c>
      <c r="D6" s="24" t="s">
        <v>12</v>
      </c>
      <c r="E6" s="9" t="s">
        <v>0</v>
      </c>
      <c r="F6" s="7" t="s">
        <v>9</v>
      </c>
      <c r="I6" s="2"/>
    </row>
    <row r="7" spans="2:10" ht="16.5" thickBot="1" x14ac:dyDescent="0.3">
      <c r="B7" s="31" t="s">
        <v>26</v>
      </c>
      <c r="C7" s="76" t="s">
        <v>73</v>
      </c>
      <c r="D7" s="75" t="s">
        <v>76</v>
      </c>
      <c r="E7" s="93"/>
      <c r="F7" s="94"/>
      <c r="I7" s="2"/>
    </row>
    <row r="8" spans="2:10" x14ac:dyDescent="0.2">
      <c r="B8" s="15" t="s">
        <v>17</v>
      </c>
      <c r="C8" s="34">
        <v>541800</v>
      </c>
      <c r="D8" s="71">
        <v>601920</v>
      </c>
      <c r="E8" s="10">
        <f t="shared" ref="E8:E13" si="0">D8-C8</f>
        <v>60120</v>
      </c>
      <c r="F8" s="11">
        <f t="shared" ref="F8:F13" si="1">E8/C8</f>
        <v>0.11096345514950166</v>
      </c>
      <c r="I8" s="2"/>
    </row>
    <row r="9" spans="2:10" x14ac:dyDescent="0.2">
      <c r="B9" s="15" t="s">
        <v>16</v>
      </c>
      <c r="C9" s="35">
        <v>600</v>
      </c>
      <c r="D9" s="71">
        <v>700</v>
      </c>
      <c r="E9" s="10">
        <f t="shared" si="0"/>
        <v>100</v>
      </c>
      <c r="F9" s="11">
        <f t="shared" si="1"/>
        <v>0.16666666666666666</v>
      </c>
      <c r="I9" s="2"/>
    </row>
    <row r="10" spans="2:10" x14ac:dyDescent="0.2">
      <c r="B10" s="15" t="s">
        <v>18</v>
      </c>
      <c r="C10" s="35">
        <v>4000</v>
      </c>
      <c r="D10" s="71">
        <v>4500</v>
      </c>
      <c r="E10" s="10">
        <f t="shared" si="0"/>
        <v>500</v>
      </c>
      <c r="F10" s="11">
        <f t="shared" si="1"/>
        <v>0.125</v>
      </c>
      <c r="I10" s="2"/>
    </row>
    <row r="11" spans="2:10" x14ac:dyDescent="0.2">
      <c r="B11" s="15" t="s">
        <v>15</v>
      </c>
      <c r="C11" s="35">
        <v>52000</v>
      </c>
      <c r="D11" s="71">
        <v>56000</v>
      </c>
      <c r="E11" s="10">
        <f t="shared" si="0"/>
        <v>4000</v>
      </c>
      <c r="F11" s="11">
        <f t="shared" si="1"/>
        <v>7.6923076923076927E-2</v>
      </c>
      <c r="I11" s="2"/>
    </row>
    <row r="12" spans="2:10" x14ac:dyDescent="0.2">
      <c r="B12" s="15" t="s">
        <v>19</v>
      </c>
      <c r="C12" s="35">
        <v>3000</v>
      </c>
      <c r="D12" s="71">
        <v>2000</v>
      </c>
      <c r="E12" s="10">
        <f t="shared" si="0"/>
        <v>-1000</v>
      </c>
      <c r="F12" s="11">
        <f t="shared" si="1"/>
        <v>-0.33333333333333331</v>
      </c>
      <c r="I12" s="2"/>
    </row>
    <row r="13" spans="2:10" x14ac:dyDescent="0.2">
      <c r="B13" s="15" t="s">
        <v>21</v>
      </c>
      <c r="C13" s="35">
        <v>5600</v>
      </c>
      <c r="D13" s="71">
        <v>5800</v>
      </c>
      <c r="E13" s="10">
        <f t="shared" si="0"/>
        <v>200</v>
      </c>
      <c r="F13" s="11">
        <f t="shared" si="1"/>
        <v>3.5714285714285712E-2</v>
      </c>
      <c r="I13" s="2"/>
    </row>
    <row r="14" spans="2:10" x14ac:dyDescent="0.2">
      <c r="B14" s="15" t="s">
        <v>72</v>
      </c>
      <c r="C14" s="35">
        <v>500</v>
      </c>
      <c r="D14" s="71">
        <v>800</v>
      </c>
      <c r="E14" s="10"/>
      <c r="F14" s="11"/>
      <c r="I14" s="2"/>
    </row>
    <row r="15" spans="2:10" x14ac:dyDescent="0.2">
      <c r="B15" s="15" t="s">
        <v>60</v>
      </c>
      <c r="C15" s="35">
        <v>15000</v>
      </c>
      <c r="D15" s="71">
        <v>42000</v>
      </c>
      <c r="E15" s="10">
        <f>D15-C15</f>
        <v>27000</v>
      </c>
      <c r="F15" s="11">
        <f>E15/C15</f>
        <v>1.8</v>
      </c>
      <c r="I15" s="2"/>
    </row>
    <row r="16" spans="2:10" ht="16.5" thickBot="1" x14ac:dyDescent="0.3">
      <c r="B16" s="80" t="s">
        <v>30</v>
      </c>
      <c r="C16" s="81">
        <f>SUM(C8:C15)</f>
        <v>622500</v>
      </c>
      <c r="D16" s="82">
        <f>SUM(D8:D15)</f>
        <v>713720</v>
      </c>
      <c r="E16" s="22">
        <f>C16-D16</f>
        <v>-91220</v>
      </c>
      <c r="F16" s="11">
        <f>1-(C16/D16)</f>
        <v>0.12780922490612567</v>
      </c>
      <c r="I16" s="13" t="s">
        <v>74</v>
      </c>
      <c r="J16" s="105">
        <f>D16</f>
        <v>713720</v>
      </c>
    </row>
    <row r="17" spans="2:10" ht="16.5" thickBot="1" x14ac:dyDescent="0.3">
      <c r="B17" s="47"/>
      <c r="C17" s="48"/>
      <c r="D17" s="48"/>
      <c r="E17" s="62"/>
      <c r="F17" s="52"/>
      <c r="I17" s="13" t="s">
        <v>70</v>
      </c>
      <c r="J17" s="105">
        <f>D32</f>
        <v>205650</v>
      </c>
    </row>
    <row r="18" spans="2:10" ht="16.5" thickBot="1" x14ac:dyDescent="0.3">
      <c r="B18" s="45" t="s">
        <v>55</v>
      </c>
      <c r="C18" s="46">
        <v>2018</v>
      </c>
      <c r="D18" s="77">
        <v>2019</v>
      </c>
      <c r="E18" s="8"/>
      <c r="F18" s="96"/>
      <c r="I18" s="13" t="s">
        <v>71</v>
      </c>
      <c r="J18" s="105">
        <f>D54</f>
        <v>174350</v>
      </c>
    </row>
    <row r="19" spans="2:10" ht="15.75" x14ac:dyDescent="0.25">
      <c r="B19" s="37" t="s">
        <v>27</v>
      </c>
      <c r="C19" s="3"/>
      <c r="D19" s="72"/>
      <c r="E19" s="97" t="s">
        <v>0</v>
      </c>
      <c r="F19" s="98" t="s">
        <v>9</v>
      </c>
      <c r="I19" s="13" t="s">
        <v>79</v>
      </c>
      <c r="J19" s="106">
        <f>D56</f>
        <v>198000</v>
      </c>
    </row>
    <row r="20" spans="2:10" ht="15.75" x14ac:dyDescent="0.25">
      <c r="B20" s="41" t="s">
        <v>49</v>
      </c>
      <c r="C20" s="4">
        <v>1200</v>
      </c>
      <c r="D20" s="73">
        <v>1800</v>
      </c>
      <c r="E20" s="10">
        <f t="shared" ref="E20:E31" si="2">D20-C20</f>
        <v>600</v>
      </c>
      <c r="F20" s="11">
        <f t="shared" ref="F20:F32" si="3">E20/C20</f>
        <v>0.5</v>
      </c>
      <c r="I20" s="13" t="s">
        <v>80</v>
      </c>
      <c r="J20" s="106">
        <f>D60</f>
        <v>135720</v>
      </c>
    </row>
    <row r="21" spans="2:10" ht="15.75" x14ac:dyDescent="0.25">
      <c r="B21" s="39" t="s">
        <v>22</v>
      </c>
      <c r="C21" s="4">
        <v>800</v>
      </c>
      <c r="D21" s="73">
        <v>350</v>
      </c>
      <c r="E21" s="10">
        <f t="shared" si="2"/>
        <v>-450</v>
      </c>
      <c r="F21" s="11">
        <f t="shared" si="3"/>
        <v>-0.5625</v>
      </c>
      <c r="I21" s="13"/>
      <c r="J21" s="107"/>
    </row>
    <row r="22" spans="2:10" x14ac:dyDescent="0.2">
      <c r="B22" s="41" t="s">
        <v>50</v>
      </c>
      <c r="C22" s="4">
        <v>1000</v>
      </c>
      <c r="D22" s="73">
        <v>1000</v>
      </c>
      <c r="E22" s="10">
        <f t="shared" si="2"/>
        <v>0</v>
      </c>
      <c r="F22" s="11">
        <f t="shared" si="3"/>
        <v>0</v>
      </c>
      <c r="I22" s="2"/>
    </row>
    <row r="23" spans="2:10" x14ac:dyDescent="0.2">
      <c r="B23" s="39" t="s">
        <v>24</v>
      </c>
      <c r="C23" s="4">
        <v>13400</v>
      </c>
      <c r="D23" s="73">
        <v>15000</v>
      </c>
      <c r="E23" s="10">
        <f t="shared" si="2"/>
        <v>1600</v>
      </c>
      <c r="F23" s="11">
        <f t="shared" si="3"/>
        <v>0.11940298507462686</v>
      </c>
      <c r="I23" s="2"/>
    </row>
    <row r="24" spans="2:10" x14ac:dyDescent="0.2">
      <c r="B24" s="41" t="s">
        <v>1</v>
      </c>
      <c r="C24" s="4">
        <v>8300</v>
      </c>
      <c r="D24" s="73">
        <v>8300</v>
      </c>
      <c r="E24" s="10">
        <f t="shared" si="2"/>
        <v>0</v>
      </c>
      <c r="F24" s="11">
        <f t="shared" si="3"/>
        <v>0</v>
      </c>
      <c r="I24" s="2"/>
    </row>
    <row r="25" spans="2:10" x14ac:dyDescent="0.2">
      <c r="B25" s="39" t="s">
        <v>25</v>
      </c>
      <c r="C25" s="4">
        <v>1000</v>
      </c>
      <c r="D25" s="73">
        <v>1000</v>
      </c>
      <c r="E25" s="10">
        <f t="shared" si="2"/>
        <v>0</v>
      </c>
      <c r="F25" s="11">
        <f t="shared" si="3"/>
        <v>0</v>
      </c>
      <c r="I25" s="2"/>
    </row>
    <row r="26" spans="2:10" x14ac:dyDescent="0.2">
      <c r="B26" s="41" t="s">
        <v>2</v>
      </c>
      <c r="C26" s="4">
        <v>13000</v>
      </c>
      <c r="D26" s="73">
        <v>14000</v>
      </c>
      <c r="E26" s="10">
        <f t="shared" si="2"/>
        <v>1000</v>
      </c>
      <c r="F26" s="11">
        <f t="shared" si="3"/>
        <v>7.6923076923076927E-2</v>
      </c>
      <c r="I26" s="2"/>
    </row>
    <row r="27" spans="2:10" x14ac:dyDescent="0.2">
      <c r="B27" s="39" t="s">
        <v>54</v>
      </c>
      <c r="C27" s="36">
        <v>137000</v>
      </c>
      <c r="D27" s="78">
        <v>143200</v>
      </c>
      <c r="E27" s="10">
        <f t="shared" si="2"/>
        <v>6200</v>
      </c>
      <c r="F27" s="11">
        <f t="shared" si="3"/>
        <v>4.5255474452554748E-2</v>
      </c>
      <c r="I27" s="2"/>
    </row>
    <row r="28" spans="2:10" x14ac:dyDescent="0.2">
      <c r="B28" s="41" t="s">
        <v>3</v>
      </c>
      <c r="C28" s="4">
        <v>8500</v>
      </c>
      <c r="D28" s="73">
        <v>10000</v>
      </c>
      <c r="E28" s="10">
        <f t="shared" si="2"/>
        <v>1500</v>
      </c>
      <c r="F28" s="11">
        <f t="shared" si="3"/>
        <v>0.17647058823529413</v>
      </c>
      <c r="I28" s="2"/>
    </row>
    <row r="29" spans="2:10" x14ac:dyDescent="0.2">
      <c r="B29" s="41" t="s">
        <v>4</v>
      </c>
      <c r="C29" s="4">
        <v>1400</v>
      </c>
      <c r="D29" s="73">
        <v>1400</v>
      </c>
      <c r="E29" s="10">
        <f t="shared" si="2"/>
        <v>0</v>
      </c>
      <c r="F29" s="11">
        <f t="shared" si="3"/>
        <v>0</v>
      </c>
      <c r="I29" s="2"/>
    </row>
    <row r="30" spans="2:10" x14ac:dyDescent="0.2">
      <c r="B30" s="39" t="s">
        <v>23</v>
      </c>
      <c r="C30" s="4">
        <v>1600</v>
      </c>
      <c r="D30" s="73">
        <v>1800</v>
      </c>
      <c r="E30" s="10">
        <f t="shared" si="2"/>
        <v>200</v>
      </c>
      <c r="F30" s="11">
        <f t="shared" si="3"/>
        <v>0.125</v>
      </c>
      <c r="I30" s="2"/>
    </row>
    <row r="31" spans="2:10" ht="13.5" thickBot="1" x14ac:dyDescent="0.25">
      <c r="B31" s="42" t="s">
        <v>31</v>
      </c>
      <c r="C31" s="5">
        <v>7800</v>
      </c>
      <c r="D31" s="74">
        <v>7800</v>
      </c>
      <c r="E31" s="95">
        <f t="shared" si="2"/>
        <v>0</v>
      </c>
      <c r="F31" s="29">
        <f t="shared" si="3"/>
        <v>0</v>
      </c>
      <c r="I31" s="2"/>
    </row>
    <row r="32" spans="2:10" ht="16.5" thickBot="1" x14ac:dyDescent="0.3">
      <c r="B32" s="55" t="s">
        <v>48</v>
      </c>
      <c r="C32" s="56">
        <f>SUM(C20:C31)</f>
        <v>195000</v>
      </c>
      <c r="D32" s="79">
        <f>SUM(D20:D31)</f>
        <v>205650</v>
      </c>
      <c r="E32" s="22">
        <f>SUM(E20:E31)</f>
        <v>10650</v>
      </c>
      <c r="F32" s="11">
        <f t="shared" si="3"/>
        <v>5.4615384615384614E-2</v>
      </c>
      <c r="I32" s="2"/>
    </row>
    <row r="33" spans="2:15" ht="8.25" customHeight="1" thickBot="1" x14ac:dyDescent="0.25">
      <c r="B33" s="43"/>
      <c r="C33" s="44"/>
      <c r="D33" s="44"/>
      <c r="E33" s="51"/>
      <c r="F33" s="52"/>
      <c r="I33" s="2"/>
    </row>
    <row r="34" spans="2:15" x14ac:dyDescent="0.2">
      <c r="B34" s="38" t="s">
        <v>46</v>
      </c>
      <c r="C34" s="32"/>
      <c r="D34" s="83"/>
      <c r="E34" s="10"/>
      <c r="F34" s="11"/>
      <c r="I34" s="2"/>
    </row>
    <row r="35" spans="2:15" x14ac:dyDescent="0.2">
      <c r="B35" s="38" t="s">
        <v>44</v>
      </c>
      <c r="C35" s="32"/>
      <c r="D35" s="83"/>
      <c r="E35" s="10"/>
      <c r="F35" s="11"/>
      <c r="I35" s="2"/>
    </row>
    <row r="36" spans="2:15" x14ac:dyDescent="0.2">
      <c r="B36" s="39" t="s">
        <v>45</v>
      </c>
      <c r="C36" s="32">
        <v>1500</v>
      </c>
      <c r="D36" s="83">
        <v>1500</v>
      </c>
      <c r="E36" s="10">
        <f>D36-C36</f>
        <v>0</v>
      </c>
      <c r="F36" s="11">
        <f>E36/C36</f>
        <v>0</v>
      </c>
    </row>
    <row r="37" spans="2:15" x14ac:dyDescent="0.2">
      <c r="B37" s="39" t="s">
        <v>33</v>
      </c>
      <c r="C37" s="32">
        <v>1200</v>
      </c>
      <c r="D37" s="83">
        <v>1200</v>
      </c>
      <c r="E37" s="10">
        <f>D37-C37</f>
        <v>0</v>
      </c>
      <c r="F37" s="11">
        <f>E37/C37</f>
        <v>0</v>
      </c>
    </row>
    <row r="38" spans="2:15" x14ac:dyDescent="0.2">
      <c r="B38" s="39" t="s">
        <v>34</v>
      </c>
      <c r="C38" s="32">
        <v>800</v>
      </c>
      <c r="D38" s="83">
        <v>800</v>
      </c>
      <c r="E38" s="10">
        <f>D38-C38</f>
        <v>0</v>
      </c>
      <c r="F38" s="11">
        <f>E38/C38</f>
        <v>0</v>
      </c>
    </row>
    <row r="39" spans="2:15" x14ac:dyDescent="0.2">
      <c r="B39" s="39" t="s">
        <v>35</v>
      </c>
      <c r="C39" s="32">
        <v>500</v>
      </c>
      <c r="D39" s="83">
        <v>650</v>
      </c>
      <c r="E39" s="10">
        <f>D39-C39</f>
        <v>150</v>
      </c>
      <c r="F39" s="11">
        <f>E39/C39</f>
        <v>0.3</v>
      </c>
    </row>
    <row r="40" spans="2:15" x14ac:dyDescent="0.2">
      <c r="B40" s="38" t="s">
        <v>43</v>
      </c>
      <c r="C40" s="32"/>
      <c r="D40" s="83"/>
      <c r="E40" s="10"/>
      <c r="F40" s="11"/>
      <c r="O40" s="30"/>
    </row>
    <row r="41" spans="2:15" x14ac:dyDescent="0.2">
      <c r="B41" s="39" t="s">
        <v>39</v>
      </c>
      <c r="C41" s="32">
        <v>24000</v>
      </c>
      <c r="D41" s="83">
        <v>22000</v>
      </c>
      <c r="E41" s="10">
        <f t="shared" ref="E41:E46" si="4">D41-C41</f>
        <v>-2000</v>
      </c>
      <c r="F41" s="11">
        <f t="shared" ref="F41:F46" si="5">E41/C41</f>
        <v>-8.3333333333333329E-2</v>
      </c>
      <c r="O41" s="2"/>
    </row>
    <row r="42" spans="2:15" x14ac:dyDescent="0.2">
      <c r="B42" s="39" t="s">
        <v>51</v>
      </c>
      <c r="C42" s="32">
        <v>3000</v>
      </c>
      <c r="D42" s="83">
        <v>11400</v>
      </c>
      <c r="E42" s="10">
        <f t="shared" si="4"/>
        <v>8400</v>
      </c>
      <c r="F42" s="11">
        <f t="shared" si="5"/>
        <v>2.8</v>
      </c>
      <c r="O42" s="2"/>
    </row>
    <row r="43" spans="2:15" x14ac:dyDescent="0.2">
      <c r="B43" s="39" t="s">
        <v>29</v>
      </c>
      <c r="C43" s="32">
        <v>4200</v>
      </c>
      <c r="D43" s="83">
        <v>4500</v>
      </c>
      <c r="E43" s="10">
        <f t="shared" si="4"/>
        <v>300</v>
      </c>
      <c r="F43" s="11">
        <f t="shared" si="5"/>
        <v>7.1428571428571425E-2</v>
      </c>
    </row>
    <row r="44" spans="2:15" x14ac:dyDescent="0.2">
      <c r="B44" s="39" t="s">
        <v>36</v>
      </c>
      <c r="C44" s="32">
        <v>4800</v>
      </c>
      <c r="D44" s="83">
        <v>4800</v>
      </c>
      <c r="E44" s="10">
        <f t="shared" si="4"/>
        <v>0</v>
      </c>
      <c r="F44" s="11">
        <f t="shared" si="5"/>
        <v>0</v>
      </c>
    </row>
    <row r="45" spans="2:15" x14ac:dyDescent="0.2">
      <c r="B45" s="39" t="s">
        <v>40</v>
      </c>
      <c r="C45" s="32">
        <v>4000</v>
      </c>
      <c r="D45" s="83">
        <v>6000</v>
      </c>
      <c r="E45" s="10">
        <f t="shared" si="4"/>
        <v>2000</v>
      </c>
      <c r="F45" s="11">
        <f t="shared" si="5"/>
        <v>0.5</v>
      </c>
    </row>
    <row r="46" spans="2:15" x14ac:dyDescent="0.2">
      <c r="B46" s="39" t="s">
        <v>37</v>
      </c>
      <c r="C46" s="32">
        <v>32000</v>
      </c>
      <c r="D46" s="83">
        <v>32000</v>
      </c>
      <c r="E46" s="10">
        <f t="shared" si="4"/>
        <v>0</v>
      </c>
      <c r="F46" s="11">
        <f t="shared" si="5"/>
        <v>0</v>
      </c>
    </row>
    <row r="47" spans="2:15" x14ac:dyDescent="0.2">
      <c r="B47" s="38" t="s">
        <v>42</v>
      </c>
      <c r="C47" s="32"/>
      <c r="D47" s="83"/>
      <c r="E47" s="10"/>
      <c r="F47" s="11"/>
    </row>
    <row r="48" spans="2:15" x14ac:dyDescent="0.2">
      <c r="B48" s="39" t="s">
        <v>41</v>
      </c>
      <c r="C48" s="32">
        <v>50000</v>
      </c>
      <c r="D48" s="83">
        <v>28000</v>
      </c>
      <c r="E48" s="10">
        <f t="shared" ref="E48:E54" si="6">D48-C48</f>
        <v>-22000</v>
      </c>
      <c r="F48" s="11">
        <f t="shared" ref="F48:F54" si="7">E48/C48</f>
        <v>-0.44</v>
      </c>
    </row>
    <row r="49" spans="2:6" x14ac:dyDescent="0.2">
      <c r="B49" s="39" t="s">
        <v>28</v>
      </c>
      <c r="C49" s="32">
        <v>45000</v>
      </c>
      <c r="D49" s="83">
        <v>45000</v>
      </c>
      <c r="E49" s="10">
        <f t="shared" si="6"/>
        <v>0</v>
      </c>
      <c r="F49" s="11">
        <f t="shared" si="7"/>
        <v>0</v>
      </c>
    </row>
    <row r="50" spans="2:6" x14ac:dyDescent="0.2">
      <c r="B50" s="39" t="s">
        <v>38</v>
      </c>
      <c r="C50" s="32">
        <v>6000</v>
      </c>
      <c r="D50" s="83">
        <v>8500</v>
      </c>
      <c r="E50" s="10">
        <f t="shared" si="6"/>
        <v>2500</v>
      </c>
      <c r="F50" s="11">
        <f t="shared" si="7"/>
        <v>0.41666666666666669</v>
      </c>
    </row>
    <row r="51" spans="2:6" x14ac:dyDescent="0.2">
      <c r="B51" s="39" t="s">
        <v>52</v>
      </c>
      <c r="C51" s="32">
        <v>2000</v>
      </c>
      <c r="D51" s="83">
        <v>2000</v>
      </c>
      <c r="E51" s="10">
        <f t="shared" si="6"/>
        <v>0</v>
      </c>
      <c r="F51" s="11">
        <f t="shared" si="7"/>
        <v>0</v>
      </c>
    </row>
    <row r="52" spans="2:6" x14ac:dyDescent="0.2">
      <c r="B52" s="39" t="s">
        <v>53</v>
      </c>
      <c r="C52" s="32">
        <v>2000</v>
      </c>
      <c r="D52" s="83">
        <v>2000</v>
      </c>
      <c r="E52" s="10">
        <f t="shared" si="6"/>
        <v>0</v>
      </c>
      <c r="F52" s="11">
        <f t="shared" si="7"/>
        <v>0</v>
      </c>
    </row>
    <row r="53" spans="2:6" ht="13.5" thickBot="1" x14ac:dyDescent="0.25">
      <c r="B53" s="40" t="s">
        <v>20</v>
      </c>
      <c r="C53" s="33">
        <v>4000</v>
      </c>
      <c r="D53" s="84">
        <v>4000</v>
      </c>
      <c r="E53" s="10">
        <f t="shared" si="6"/>
        <v>0</v>
      </c>
      <c r="F53" s="11">
        <f t="shared" si="7"/>
        <v>0</v>
      </c>
    </row>
    <row r="54" spans="2:6" ht="16.5" thickBot="1" x14ac:dyDescent="0.3">
      <c r="B54" s="53" t="s">
        <v>47</v>
      </c>
      <c r="C54" s="54">
        <f>SUM(C36:C53)</f>
        <v>185000</v>
      </c>
      <c r="D54" s="85">
        <f>SUM(D36:D53)</f>
        <v>174350</v>
      </c>
      <c r="E54" s="99">
        <f t="shared" si="6"/>
        <v>-10650</v>
      </c>
      <c r="F54" s="52">
        <f t="shared" si="7"/>
        <v>-5.7567567567567569E-2</v>
      </c>
    </row>
    <row r="55" spans="2:6" ht="7.5" customHeight="1" thickBot="1" x14ac:dyDescent="0.25">
      <c r="B55" s="49"/>
      <c r="C55" s="26"/>
      <c r="D55" s="26"/>
      <c r="E55" s="22"/>
      <c r="F55" s="50"/>
    </row>
    <row r="56" spans="2:6" ht="16.5" thickBot="1" x14ac:dyDescent="0.3">
      <c r="B56" s="57" t="s">
        <v>65</v>
      </c>
      <c r="C56" s="58">
        <v>198000</v>
      </c>
      <c r="D56" s="86">
        <v>198000</v>
      </c>
      <c r="E56" s="27">
        <f>D56-C56</f>
        <v>0</v>
      </c>
      <c r="F56" s="28">
        <f>E56/C56</f>
        <v>0</v>
      </c>
    </row>
    <row r="57" spans="2:6" ht="5.25" customHeight="1" thickBot="1" x14ac:dyDescent="0.3">
      <c r="B57" s="65"/>
      <c r="C57" s="66"/>
      <c r="D57" s="66"/>
      <c r="E57" s="51"/>
      <c r="F57" s="52"/>
    </row>
    <row r="58" spans="2:6" ht="18" x14ac:dyDescent="0.25">
      <c r="B58" s="63" t="s">
        <v>14</v>
      </c>
      <c r="C58" s="91">
        <f>C32+C54+C56</f>
        <v>578000</v>
      </c>
      <c r="D58" s="88">
        <f>D32+D54+D56</f>
        <v>578000</v>
      </c>
      <c r="E58" s="64">
        <f>D58-C58</f>
        <v>0</v>
      </c>
      <c r="F58" s="11">
        <f>E58/C58</f>
        <v>0</v>
      </c>
    </row>
    <row r="59" spans="2:6" ht="18.75" thickBot="1" x14ac:dyDescent="0.3">
      <c r="B59" s="59" t="s">
        <v>64</v>
      </c>
      <c r="C59" s="92">
        <f>C16</f>
        <v>622500</v>
      </c>
      <c r="D59" s="89">
        <f>D16</f>
        <v>713720</v>
      </c>
      <c r="E59" s="60">
        <f>D59-C59</f>
        <v>91220</v>
      </c>
      <c r="F59" s="12">
        <f>E59/C59</f>
        <v>0.14653815261044176</v>
      </c>
    </row>
    <row r="60" spans="2:6" ht="20.25" x14ac:dyDescent="0.3">
      <c r="B60" s="67" t="s">
        <v>59</v>
      </c>
      <c r="C60" s="90">
        <f>C59-C58</f>
        <v>44500</v>
      </c>
      <c r="D60" s="87">
        <f>D59-D58</f>
        <v>135720</v>
      </c>
      <c r="E60" s="68">
        <f>D60-C60</f>
        <v>91220</v>
      </c>
      <c r="F60" s="28">
        <f>E60/C60</f>
        <v>2.0498876404494384</v>
      </c>
    </row>
    <row r="61" spans="2:6" ht="9.75" customHeight="1" x14ac:dyDescent="0.2"/>
    <row r="67" spans="2:2" ht="27" customHeight="1" x14ac:dyDescent="0.2"/>
    <row r="69" spans="2:2" ht="15.75" x14ac:dyDescent="0.25">
      <c r="B69" s="13"/>
    </row>
    <row r="84" spans="7:7" x14ac:dyDescent="0.2">
      <c r="G84" s="1"/>
    </row>
    <row r="85" spans="7:7" x14ac:dyDescent="0.2">
      <c r="G85" s="1"/>
    </row>
    <row r="86" spans="7:7" x14ac:dyDescent="0.2">
      <c r="G86" s="1"/>
    </row>
    <row r="87" spans="7:7" x14ac:dyDescent="0.2">
      <c r="G87" s="1"/>
    </row>
    <row r="88" spans="7:7" x14ac:dyDescent="0.2">
      <c r="G88" s="1"/>
    </row>
    <row r="89" spans="7:7" x14ac:dyDescent="0.2">
      <c r="G89" s="1"/>
    </row>
    <row r="90" spans="7:7" x14ac:dyDescent="0.2">
      <c r="G90" s="1"/>
    </row>
    <row r="91" spans="7:7" x14ac:dyDescent="0.2">
      <c r="G91" s="1"/>
    </row>
    <row r="92" spans="7:7" x14ac:dyDescent="0.2">
      <c r="G92" s="1"/>
    </row>
    <row r="93" spans="7:7" x14ac:dyDescent="0.2">
      <c r="G93" s="1"/>
    </row>
    <row r="94" spans="7:7" x14ac:dyDescent="0.2">
      <c r="G94" s="1"/>
    </row>
    <row r="95" spans="7:7" x14ac:dyDescent="0.2">
      <c r="G95" s="1"/>
    </row>
    <row r="96" spans="7:7" x14ac:dyDescent="0.2">
      <c r="G96" s="1"/>
    </row>
    <row r="97" spans="7:7" x14ac:dyDescent="0.2">
      <c r="G97" s="1"/>
    </row>
    <row r="98" spans="7:7" x14ac:dyDescent="0.2">
      <c r="G98" s="1"/>
    </row>
    <row r="99" spans="7:7" x14ac:dyDescent="0.2">
      <c r="G99" s="1"/>
    </row>
    <row r="100" spans="7:7" x14ac:dyDescent="0.2">
      <c r="G100" s="1"/>
    </row>
    <row r="101" spans="7:7" x14ac:dyDescent="0.2">
      <c r="G101" s="1"/>
    </row>
    <row r="102" spans="7:7" x14ac:dyDescent="0.2">
      <c r="G102" s="1"/>
    </row>
    <row r="103" spans="7:7" x14ac:dyDescent="0.2">
      <c r="G103" s="1"/>
    </row>
    <row r="104" spans="7:7" x14ac:dyDescent="0.2">
      <c r="G104" s="1"/>
    </row>
    <row r="105" spans="7:7" x14ac:dyDescent="0.2">
      <c r="G105" s="1"/>
    </row>
    <row r="106" spans="7:7" x14ac:dyDescent="0.2">
      <c r="G106" s="1"/>
    </row>
    <row r="107" spans="7:7" x14ac:dyDescent="0.2">
      <c r="G107" s="1"/>
    </row>
    <row r="108" spans="7:7" x14ac:dyDescent="0.2">
      <c r="G108" s="1"/>
    </row>
    <row r="109" spans="7:7" x14ac:dyDescent="0.2">
      <c r="G109" s="1"/>
    </row>
    <row r="110" spans="7:7" x14ac:dyDescent="0.2">
      <c r="G110" s="1"/>
    </row>
    <row r="111" spans="7:7" x14ac:dyDescent="0.2">
      <c r="G111" s="1"/>
    </row>
    <row r="112" spans="7:7" x14ac:dyDescent="0.2">
      <c r="G112" s="1"/>
    </row>
    <row r="113" spans="7:7" x14ac:dyDescent="0.2">
      <c r="G113" s="1"/>
    </row>
  </sheetData>
  <mergeCells count="4">
    <mergeCell ref="B1:F1"/>
    <mergeCell ref="B2:F2"/>
    <mergeCell ref="B3:F3"/>
    <mergeCell ref="B4:F4"/>
  </mergeCells>
  <pageMargins left="0.9" right="0.2" top="0.6" bottom="0.5" header="0.3" footer="0.3"/>
  <pageSetup paperSize="5" scale="84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0"/>
  <sheetViews>
    <sheetView showGridLines="0" topLeftCell="A20" zoomScale="150" zoomScaleNormal="150" workbookViewId="0">
      <selection sqref="A1:H38"/>
    </sheetView>
  </sheetViews>
  <sheetFormatPr defaultRowHeight="12.75" x14ac:dyDescent="0.2"/>
  <cols>
    <col min="1" max="1" width="62.28515625" style="2" customWidth="1"/>
    <col min="2" max="3" width="15.28515625" style="2" hidden="1" customWidth="1"/>
    <col min="4" max="4" width="18" style="2" hidden="1" customWidth="1"/>
    <col min="5" max="5" width="16.140625" style="2" hidden="1" customWidth="1"/>
    <col min="6" max="6" width="16.140625" style="2" customWidth="1"/>
    <col min="7" max="7" width="14.7109375" style="2" bestFit="1" customWidth="1"/>
    <col min="8" max="8" width="16.85546875" style="2" customWidth="1"/>
    <col min="9" max="9" width="16.28515625" style="2" hidden="1" customWidth="1"/>
    <col min="10" max="10" width="14" style="2" hidden="1" customWidth="1"/>
    <col min="11" max="11" width="27.140625" style="504" hidden="1" customWidth="1"/>
    <col min="12" max="12" width="4.7109375" customWidth="1"/>
    <col min="14" max="24" width="0" hidden="1" customWidth="1"/>
    <col min="26" max="26" width="13.85546875" customWidth="1"/>
    <col min="28" max="30" width="28.28515625" customWidth="1"/>
  </cols>
  <sheetData>
    <row r="1" spans="1:24" ht="18.75" thickBot="1" x14ac:dyDescent="0.3">
      <c r="A1" s="715" t="s">
        <v>32</v>
      </c>
      <c r="B1" s="716"/>
      <c r="C1" s="716"/>
      <c r="D1" s="716"/>
      <c r="E1" s="716"/>
      <c r="F1" s="716"/>
      <c r="G1" s="716"/>
      <c r="H1" s="716"/>
      <c r="I1" s="620"/>
    </row>
    <row r="2" spans="1:24" ht="23.25" x14ac:dyDescent="0.35">
      <c r="A2" s="718" t="s">
        <v>445</v>
      </c>
      <c r="B2" s="719"/>
      <c r="C2" s="719"/>
      <c r="D2" s="719"/>
      <c r="E2" s="719"/>
      <c r="F2" s="719"/>
      <c r="G2" s="719"/>
      <c r="H2" s="719"/>
      <c r="I2" s="621"/>
      <c r="J2" s="293"/>
      <c r="K2" s="294"/>
      <c r="N2" s="250"/>
      <c r="O2" s="250"/>
      <c r="P2" s="250"/>
      <c r="Q2" s="250"/>
      <c r="R2" s="250"/>
      <c r="S2" s="250"/>
      <c r="T2" s="250"/>
      <c r="U2" s="251"/>
      <c r="V2" s="251"/>
      <c r="W2" s="251"/>
      <c r="X2" s="252"/>
    </row>
    <row r="3" spans="1:24" ht="23.25" x14ac:dyDescent="0.35">
      <c r="A3" s="721" t="s">
        <v>458</v>
      </c>
      <c r="B3" s="722"/>
      <c r="C3" s="722"/>
      <c r="D3" s="722"/>
      <c r="E3" s="722"/>
      <c r="F3" s="722"/>
      <c r="G3" s="722"/>
      <c r="H3" s="722"/>
      <c r="I3" s="622"/>
      <c r="J3" s="247"/>
      <c r="K3" s="295"/>
      <c r="N3" s="250"/>
      <c r="O3" s="250"/>
      <c r="P3" s="250"/>
      <c r="Q3" s="250"/>
      <c r="R3" s="250"/>
      <c r="S3" s="250"/>
      <c r="T3" s="250"/>
      <c r="U3" s="251"/>
      <c r="V3" s="251"/>
      <c r="W3" s="251"/>
      <c r="X3" s="252"/>
    </row>
    <row r="4" spans="1:24" ht="23.25" x14ac:dyDescent="0.35">
      <c r="A4" s="725"/>
      <c r="B4" s="726"/>
      <c r="C4" s="726"/>
      <c r="D4" s="726"/>
      <c r="E4" s="726"/>
      <c r="F4" s="726"/>
      <c r="G4" s="726"/>
      <c r="H4" s="726"/>
      <c r="I4" s="615"/>
      <c r="J4" s="247"/>
      <c r="K4" s="295"/>
      <c r="N4" s="250"/>
      <c r="O4" s="250"/>
      <c r="P4" s="250"/>
      <c r="Q4" s="250"/>
      <c r="R4" s="250"/>
      <c r="S4" s="250"/>
      <c r="T4" s="250"/>
      <c r="U4" s="251"/>
      <c r="V4" s="251"/>
      <c r="W4" s="251"/>
      <c r="X4" s="252"/>
    </row>
    <row r="5" spans="1:24" ht="14.25" customHeight="1" x14ac:dyDescent="0.35">
      <c r="A5" s="246"/>
      <c r="B5" s="247"/>
      <c r="C5" s="247"/>
      <c r="E5" s="247"/>
      <c r="F5" s="247"/>
      <c r="G5" s="247"/>
      <c r="H5" s="247"/>
      <c r="I5" s="247"/>
      <c r="J5" s="247"/>
      <c r="N5" s="250"/>
      <c r="O5" s="250"/>
      <c r="P5" s="250"/>
      <c r="Q5" s="250"/>
      <c r="R5" s="250"/>
      <c r="S5" s="250"/>
      <c r="T5" s="250"/>
      <c r="U5" s="251"/>
      <c r="V5" s="251"/>
      <c r="W5" s="251"/>
      <c r="X5" s="252"/>
    </row>
    <row r="6" spans="1:24" ht="38.25" thickBot="1" x14ac:dyDescent="0.4">
      <c r="A6" s="623" t="s">
        <v>320</v>
      </c>
      <c r="B6" s="624"/>
      <c r="C6" s="625"/>
      <c r="D6" s="626"/>
      <c r="E6" s="627"/>
      <c r="F6" s="626" t="s">
        <v>446</v>
      </c>
      <c r="G6" s="626" t="s">
        <v>77</v>
      </c>
      <c r="H6" s="626" t="s">
        <v>456</v>
      </c>
      <c r="I6" s="247"/>
      <c r="J6" s="247"/>
      <c r="K6" s="285"/>
      <c r="N6" s="250"/>
      <c r="O6" s="250"/>
      <c r="P6" s="250"/>
      <c r="Q6" s="250"/>
      <c r="R6" s="250"/>
      <c r="S6" s="250"/>
      <c r="T6" s="250"/>
      <c r="U6" s="251"/>
      <c r="V6" s="251"/>
      <c r="W6" s="251"/>
      <c r="X6" s="252"/>
    </row>
    <row r="7" spans="1:24" ht="14.25" customHeight="1" x14ac:dyDescent="0.35">
      <c r="A7" s="523" t="s">
        <v>26</v>
      </c>
      <c r="B7" s="524"/>
      <c r="C7" s="524"/>
      <c r="D7" s="525"/>
      <c r="E7" s="525"/>
      <c r="F7" s="544" t="s">
        <v>447</v>
      </c>
      <c r="G7" s="544" t="s">
        <v>457</v>
      </c>
      <c r="H7" s="545" t="s">
        <v>513</v>
      </c>
      <c r="I7" s="247"/>
      <c r="J7" s="247"/>
      <c r="K7" s="285"/>
      <c r="N7" s="250"/>
      <c r="O7" s="250"/>
      <c r="P7" s="250"/>
      <c r="Q7" s="250"/>
      <c r="R7" s="250"/>
      <c r="S7" s="250"/>
      <c r="T7" s="250"/>
      <c r="U7" s="251"/>
      <c r="V7" s="251"/>
      <c r="W7" s="251"/>
      <c r="X7" s="252"/>
    </row>
    <row r="8" spans="1:24" ht="14.25" customHeight="1" x14ac:dyDescent="0.35">
      <c r="A8" s="137" t="s">
        <v>441</v>
      </c>
      <c r="B8" s="247"/>
      <c r="C8" s="247"/>
      <c r="D8" s="462"/>
      <c r="E8" s="553"/>
      <c r="F8" s="553">
        <f>+'Income Statement'!J116</f>
        <v>10723.73</v>
      </c>
      <c r="G8" s="553">
        <f>+'Income Statement'!O116</f>
        <v>1451274.27</v>
      </c>
      <c r="H8" s="462">
        <v>0</v>
      </c>
      <c r="J8" s="247"/>
      <c r="K8" s="505" t="s">
        <v>401</v>
      </c>
      <c r="N8" s="250"/>
      <c r="O8" s="250"/>
      <c r="P8" s="250"/>
      <c r="Q8" s="250"/>
      <c r="R8" s="250"/>
      <c r="S8" s="250"/>
      <c r="T8" s="250"/>
      <c r="U8" s="251"/>
      <c r="V8" s="251"/>
      <c r="W8" s="251"/>
      <c r="X8" s="252"/>
    </row>
    <row r="9" spans="1:24" ht="14.25" customHeight="1" x14ac:dyDescent="0.35">
      <c r="A9" s="137" t="s">
        <v>398</v>
      </c>
      <c r="B9" s="247"/>
      <c r="C9" s="247"/>
      <c r="D9" s="462"/>
      <c r="E9" s="553"/>
      <c r="F9" s="553">
        <f>+'Income Statement'!J117</f>
        <v>125804.83</v>
      </c>
      <c r="G9" s="553">
        <f>+'Income Statement'!O117</f>
        <v>20000</v>
      </c>
      <c r="H9" s="462">
        <v>0</v>
      </c>
      <c r="J9" s="247"/>
      <c r="K9" s="505"/>
      <c r="N9" s="250"/>
      <c r="O9" s="250"/>
      <c r="P9" s="250"/>
      <c r="Q9" s="250"/>
      <c r="R9" s="250"/>
      <c r="S9" s="250"/>
      <c r="T9" s="250"/>
      <c r="U9" s="251"/>
      <c r="V9" s="251"/>
      <c r="W9" s="251"/>
      <c r="X9" s="252"/>
    </row>
    <row r="10" spans="1:24" ht="14.25" customHeight="1" x14ac:dyDescent="0.35">
      <c r="A10" s="137" t="s">
        <v>429</v>
      </c>
      <c r="B10" s="247"/>
      <c r="C10" s="247"/>
      <c r="D10" s="462"/>
      <c r="E10" s="553"/>
      <c r="F10" s="553"/>
      <c r="G10" s="553">
        <f>+'Income Statement'!O118</f>
        <v>1000000</v>
      </c>
      <c r="H10" s="462">
        <v>0</v>
      </c>
      <c r="J10" s="247"/>
      <c r="K10" s="505" t="s">
        <v>399</v>
      </c>
      <c r="N10" s="250"/>
      <c r="O10" s="250"/>
      <c r="P10" s="250"/>
      <c r="Q10" s="250"/>
      <c r="R10" s="250"/>
      <c r="S10" s="250"/>
      <c r="T10" s="250"/>
      <c r="U10" s="251"/>
      <c r="V10" s="251"/>
      <c r="W10" s="251"/>
      <c r="X10" s="252"/>
    </row>
    <row r="11" spans="1:24" ht="14.25" customHeight="1" x14ac:dyDescent="0.35">
      <c r="A11" s="137" t="s">
        <v>430</v>
      </c>
      <c r="B11" s="247"/>
      <c r="C11" s="247"/>
      <c r="D11" s="462"/>
      <c r="E11" s="553"/>
      <c r="F11" s="553">
        <f>+'Income Statement'!J119</f>
        <v>634409.25</v>
      </c>
      <c r="G11" s="553">
        <f>+'Income Statement'!O119</f>
        <v>300000</v>
      </c>
      <c r="H11" s="462">
        <v>150000</v>
      </c>
      <c r="J11" s="247"/>
      <c r="K11" s="505"/>
      <c r="N11" s="250"/>
      <c r="O11" s="250"/>
      <c r="P11" s="250"/>
      <c r="Q11" s="250"/>
      <c r="R11" s="250"/>
      <c r="S11" s="250"/>
      <c r="T11" s="250"/>
      <c r="U11" s="251"/>
      <c r="V11" s="251"/>
      <c r="W11" s="251"/>
      <c r="X11" s="252"/>
    </row>
    <row r="12" spans="1:24" ht="14.25" customHeight="1" x14ac:dyDescent="0.35">
      <c r="A12" s="687" t="s">
        <v>527</v>
      </c>
      <c r="B12" s="247"/>
      <c r="C12" s="247"/>
      <c r="D12" s="462"/>
      <c r="E12" s="553"/>
      <c r="F12" s="553"/>
      <c r="G12" s="553">
        <f>+'Income Statement'!O131</f>
        <v>5042</v>
      </c>
      <c r="H12" s="462"/>
      <c r="J12" s="247"/>
      <c r="K12" s="505"/>
      <c r="N12" s="250"/>
      <c r="O12" s="250"/>
      <c r="P12" s="250"/>
      <c r="Q12" s="250"/>
      <c r="R12" s="250"/>
      <c r="S12" s="250"/>
      <c r="T12" s="250"/>
      <c r="U12" s="251"/>
      <c r="V12" s="251"/>
      <c r="W12" s="251"/>
      <c r="X12" s="252"/>
    </row>
    <row r="13" spans="1:24" ht="14.25" customHeight="1" x14ac:dyDescent="0.35">
      <c r="A13" s="137" t="s">
        <v>381</v>
      </c>
      <c r="B13" s="247"/>
      <c r="C13" s="247"/>
      <c r="D13" s="462"/>
      <c r="E13" s="553"/>
      <c r="F13" s="553">
        <f>+'Income Statement'!J129</f>
        <v>945479.35</v>
      </c>
      <c r="G13" s="553">
        <f>'Income Statement'!O129</f>
        <v>1679378.7</v>
      </c>
      <c r="H13" s="462">
        <f>130*11600</f>
        <v>1508000</v>
      </c>
      <c r="J13" s="247"/>
      <c r="K13" s="505">
        <v>50</v>
      </c>
      <c r="N13" s="250"/>
      <c r="O13" s="250"/>
      <c r="P13" s="250"/>
      <c r="Q13" s="250"/>
      <c r="R13" s="250"/>
      <c r="S13" s="250"/>
      <c r="T13" s="250"/>
      <c r="U13" s="251"/>
      <c r="V13" s="251"/>
      <c r="W13" s="251"/>
      <c r="X13" s="252"/>
    </row>
    <row r="14" spans="1:24" ht="14.25" customHeight="1" x14ac:dyDescent="0.35">
      <c r="A14" s="137" t="s">
        <v>396</v>
      </c>
      <c r="B14" s="247"/>
      <c r="C14" s="247"/>
      <c r="D14" s="462"/>
      <c r="E14" s="553"/>
      <c r="F14" s="553">
        <f>+'Income Statement'!J120</f>
        <v>1823321.83</v>
      </c>
      <c r="G14" s="553">
        <f>+'Income Statement'!O120</f>
        <v>3199344.47</v>
      </c>
      <c r="H14" s="462"/>
      <c r="J14" s="247"/>
      <c r="K14" s="505" t="s">
        <v>400</v>
      </c>
      <c r="N14" s="250"/>
      <c r="O14" s="250"/>
      <c r="P14" s="250"/>
      <c r="Q14" s="250"/>
      <c r="R14" s="250"/>
      <c r="S14" s="250"/>
      <c r="T14" s="250"/>
      <c r="U14" s="251"/>
      <c r="V14" s="251"/>
      <c r="W14" s="251"/>
      <c r="X14" s="252"/>
    </row>
    <row r="15" spans="1:24" ht="14.25" customHeight="1" thickBot="1" x14ac:dyDescent="0.4">
      <c r="A15" s="151" t="s">
        <v>451</v>
      </c>
      <c r="B15" s="568"/>
      <c r="C15" s="568"/>
      <c r="D15" s="569"/>
      <c r="E15" s="570"/>
      <c r="F15" s="570">
        <f>+'Income Statement'!J128</f>
        <v>368708.8</v>
      </c>
      <c r="G15" s="570">
        <f>+'Income Statement'!O128</f>
        <v>204804.36</v>
      </c>
      <c r="H15" s="569">
        <v>110000</v>
      </c>
      <c r="J15" s="247"/>
      <c r="K15" s="505"/>
      <c r="N15" s="250"/>
      <c r="O15" s="250"/>
      <c r="P15" s="250"/>
      <c r="Q15" s="250"/>
      <c r="R15" s="250"/>
      <c r="S15" s="250"/>
      <c r="T15" s="250"/>
      <c r="U15" s="251"/>
      <c r="V15" s="251"/>
      <c r="W15" s="251"/>
      <c r="X15" s="252"/>
    </row>
    <row r="16" spans="1:24" ht="14.25" customHeight="1" thickBot="1" x14ac:dyDescent="0.3">
      <c r="A16" s="438" t="s">
        <v>407</v>
      </c>
      <c r="B16" s="473">
        <v>0</v>
      </c>
      <c r="C16" s="513" t="e">
        <v>#DIV/0!</v>
      </c>
      <c r="D16" s="567"/>
      <c r="E16" s="567"/>
      <c r="F16" s="554">
        <f>SUM(F8:F15)</f>
        <v>3908447.79</v>
      </c>
      <c r="G16" s="554">
        <f>SUM(G8:G15)</f>
        <v>7859843.7999999998</v>
      </c>
      <c r="H16" s="554">
        <f>SUM(H8:H15)</f>
        <v>1768000</v>
      </c>
      <c r="I16" s="468">
        <f>SUM(I6:I14)</f>
        <v>0</v>
      </c>
      <c r="J16" s="469" t="e">
        <f>I16/E16</f>
        <v>#DIV/0!</v>
      </c>
      <c r="K16" s="285"/>
      <c r="N16" s="250"/>
      <c r="O16" s="250"/>
      <c r="P16" s="250"/>
      <c r="Q16" s="250"/>
      <c r="R16" s="250" t="s">
        <v>259</v>
      </c>
      <c r="S16" s="250"/>
      <c r="T16" s="250"/>
      <c r="U16" s="251">
        <v>1560</v>
      </c>
      <c r="V16" s="251">
        <v>3300</v>
      </c>
      <c r="W16" s="251">
        <v>-1740</v>
      </c>
      <c r="X16" s="252">
        <v>0.47272999999999998</v>
      </c>
    </row>
    <row r="17" spans="1:24" ht="14.25" customHeight="1" x14ac:dyDescent="0.35">
      <c r="A17" s="246"/>
      <c r="B17" s="247"/>
      <c r="C17" s="247"/>
      <c r="D17" s="247"/>
      <c r="E17" s="247"/>
      <c r="F17" s="247"/>
      <c r="G17" s="247"/>
      <c r="H17" s="295"/>
      <c r="I17" s="247"/>
      <c r="J17" s="247"/>
      <c r="K17" s="285"/>
      <c r="N17" s="250"/>
      <c r="O17" s="250"/>
      <c r="P17" s="250"/>
      <c r="Q17" s="250"/>
      <c r="R17" s="250"/>
      <c r="S17" s="250"/>
      <c r="T17" s="250"/>
      <c r="U17" s="251"/>
      <c r="V17" s="251"/>
      <c r="W17" s="251"/>
      <c r="X17" s="252"/>
    </row>
    <row r="18" spans="1:24" ht="10.5" customHeight="1" thickBot="1" x14ac:dyDescent="0.4">
      <c r="A18" s="246" t="s">
        <v>330</v>
      </c>
      <c r="B18" s="247" t="s">
        <v>377</v>
      </c>
      <c r="C18" s="465" t="s">
        <v>376</v>
      </c>
      <c r="D18" s="247"/>
      <c r="E18" s="247"/>
      <c r="F18" s="247"/>
      <c r="G18" s="247"/>
      <c r="H18" s="295"/>
      <c r="I18" s="247"/>
      <c r="J18" s="247"/>
      <c r="K18" s="285"/>
      <c r="N18" s="250"/>
      <c r="O18" s="250"/>
      <c r="P18" s="250"/>
      <c r="Q18" s="250"/>
      <c r="R18" s="250"/>
      <c r="S18" s="250"/>
      <c r="T18" s="250"/>
      <c r="U18" s="251"/>
      <c r="V18" s="251"/>
      <c r="W18" s="251"/>
      <c r="X18" s="252"/>
    </row>
    <row r="19" spans="1:24" ht="16.5" thickBot="1" x14ac:dyDescent="0.3">
      <c r="A19" s="529" t="s">
        <v>55</v>
      </c>
      <c r="B19" s="480"/>
      <c r="C19" s="530"/>
      <c r="D19" s="522"/>
      <c r="E19" s="522"/>
      <c r="F19" s="544" t="s">
        <v>447</v>
      </c>
      <c r="G19" s="544" t="s">
        <v>457</v>
      </c>
      <c r="H19" s="545" t="s">
        <v>513</v>
      </c>
      <c r="I19" s="475"/>
      <c r="K19" s="506" t="s">
        <v>443</v>
      </c>
      <c r="N19" s="250"/>
      <c r="O19" s="250"/>
      <c r="P19" s="250"/>
      <c r="Q19" s="250" t="s">
        <v>261</v>
      </c>
      <c r="R19" s="250"/>
      <c r="S19" s="250"/>
      <c r="T19" s="250"/>
      <c r="U19" s="251">
        <v>9705</v>
      </c>
      <c r="V19" s="251">
        <v>64459</v>
      </c>
      <c r="W19" s="251">
        <v>-54754</v>
      </c>
      <c r="X19" s="252">
        <v>0.15056</v>
      </c>
    </row>
    <row r="20" spans="1:24" ht="15.75" x14ac:dyDescent="0.25">
      <c r="A20" s="575" t="s">
        <v>442</v>
      </c>
      <c r="B20" s="586"/>
      <c r="C20" s="587"/>
      <c r="D20" s="588"/>
      <c r="E20" s="588"/>
      <c r="F20" s="576">
        <f>+'Income Statement'!J135</f>
        <v>0</v>
      </c>
      <c r="G20" s="576">
        <f>+'Income Statement'!O135</f>
        <v>0</v>
      </c>
      <c r="H20" s="576">
        <v>0</v>
      </c>
      <c r="I20" s="475"/>
      <c r="K20" s="506"/>
      <c r="N20" s="250"/>
      <c r="O20" s="250"/>
      <c r="P20" s="250"/>
      <c r="Q20" s="250"/>
      <c r="R20" s="250"/>
      <c r="S20" s="250"/>
      <c r="T20" s="250"/>
      <c r="U20" s="251"/>
      <c r="V20" s="251"/>
      <c r="W20" s="251"/>
      <c r="X20" s="252"/>
    </row>
    <row r="21" spans="1:24" ht="15.75" x14ac:dyDescent="0.25">
      <c r="A21" s="432" t="s">
        <v>359</v>
      </c>
      <c r="B21" s="471"/>
      <c r="C21" s="465"/>
      <c r="D21" s="426"/>
      <c r="E21" s="426"/>
      <c r="F21" s="572">
        <f>+'Income Statement'!J136</f>
        <v>0</v>
      </c>
      <c r="G21" s="572">
        <v>0</v>
      </c>
      <c r="H21" s="573">
        <v>0</v>
      </c>
      <c r="I21" s="475"/>
      <c r="K21" s="506"/>
      <c r="N21" s="250"/>
      <c r="O21" s="250"/>
      <c r="P21" s="250"/>
      <c r="Q21" s="250"/>
      <c r="R21" s="250"/>
      <c r="S21" s="250"/>
      <c r="T21" s="250"/>
      <c r="U21" s="251"/>
      <c r="V21" s="251"/>
      <c r="W21" s="251"/>
      <c r="X21" s="252"/>
    </row>
    <row r="22" spans="1:24" ht="15.75" x14ac:dyDescent="0.25">
      <c r="A22" s="432" t="s">
        <v>360</v>
      </c>
      <c r="B22" s="471"/>
      <c r="C22" s="465"/>
      <c r="D22" s="426"/>
      <c r="E22" s="426"/>
      <c r="F22" s="572">
        <f>+'Income Statement'!J137</f>
        <v>0</v>
      </c>
      <c r="G22" s="572">
        <f>+'Income Statement'!O137</f>
        <v>50726.61</v>
      </c>
      <c r="H22" s="573">
        <v>0</v>
      </c>
      <c r="I22" s="475"/>
      <c r="K22" s="506"/>
      <c r="N22" s="250"/>
      <c r="O22" s="250"/>
      <c r="P22" s="250"/>
      <c r="Q22" s="250"/>
      <c r="R22" s="250"/>
      <c r="S22" s="250"/>
      <c r="T22" s="250"/>
      <c r="U22" s="251"/>
      <c r="V22" s="251"/>
      <c r="W22" s="251"/>
      <c r="X22" s="252"/>
    </row>
    <row r="23" spans="1:24" ht="15" x14ac:dyDescent="0.25">
      <c r="A23" s="432" t="s">
        <v>361</v>
      </c>
      <c r="B23" s="507">
        <v>7500</v>
      </c>
      <c r="C23" s="571">
        <v>0.8</v>
      </c>
      <c r="D23" s="574">
        <v>6000</v>
      </c>
      <c r="E23" s="572"/>
      <c r="F23" s="572">
        <f>+'Income Statement'!J138</f>
        <v>0</v>
      </c>
      <c r="G23" s="572">
        <f>+'Income Statement'!O138</f>
        <v>4280</v>
      </c>
      <c r="H23" s="573">
        <v>10000</v>
      </c>
      <c r="J23" s="508">
        <v>1</v>
      </c>
      <c r="K23" s="509">
        <f t="shared" ref="K23:K33" si="0">J23*H23</f>
        <v>10000</v>
      </c>
      <c r="N23" s="250"/>
      <c r="O23" s="250"/>
      <c r="P23" s="250" t="s">
        <v>57</v>
      </c>
      <c r="Q23" s="250"/>
      <c r="R23" s="250"/>
      <c r="S23" s="250"/>
      <c r="T23" s="250"/>
      <c r="U23" s="251"/>
      <c r="V23" s="251"/>
      <c r="W23" s="251"/>
      <c r="X23" s="252"/>
    </row>
    <row r="24" spans="1:24" ht="15" x14ac:dyDescent="0.25">
      <c r="A24" s="432" t="s">
        <v>440</v>
      </c>
      <c r="B24" s="507">
        <v>100000</v>
      </c>
      <c r="C24" s="571">
        <v>0.75</v>
      </c>
      <c r="D24" s="574">
        <v>75000</v>
      </c>
      <c r="E24" s="572"/>
      <c r="F24" s="572"/>
      <c r="G24" s="572"/>
      <c r="H24" s="573"/>
      <c r="J24" s="508">
        <v>1</v>
      </c>
      <c r="K24" s="509">
        <f t="shared" si="0"/>
        <v>0</v>
      </c>
      <c r="N24" s="250"/>
      <c r="O24" s="250"/>
      <c r="P24" s="250"/>
      <c r="Q24" s="250" t="s">
        <v>311</v>
      </c>
      <c r="R24" s="250"/>
      <c r="S24" s="250"/>
      <c r="T24" s="250"/>
      <c r="U24" s="251"/>
      <c r="V24" s="251"/>
      <c r="W24" s="251"/>
      <c r="X24" s="252"/>
    </row>
    <row r="25" spans="1:24" x14ac:dyDescent="0.2">
      <c r="A25" s="432" t="s">
        <v>454</v>
      </c>
      <c r="B25" s="507"/>
      <c r="C25" s="571"/>
      <c r="D25" s="572"/>
      <c r="E25" s="572"/>
      <c r="F25" s="573">
        <f>+'Income Statement'!J144</f>
        <v>460770</v>
      </c>
      <c r="G25" s="573">
        <f>+'Income Statement'!O139+'Income Statement'!O144</f>
        <v>165400.47999999998</v>
      </c>
      <c r="H25" s="573">
        <v>1000000</v>
      </c>
      <c r="J25" s="508"/>
      <c r="K25" s="509"/>
      <c r="N25" s="250"/>
      <c r="O25" s="250"/>
      <c r="P25" s="250"/>
      <c r="Q25" s="250"/>
      <c r="R25" s="250"/>
      <c r="S25" s="250"/>
      <c r="T25" s="250"/>
      <c r="U25" s="251"/>
      <c r="V25" s="251"/>
      <c r="W25" s="251"/>
      <c r="X25" s="252"/>
    </row>
    <row r="26" spans="1:24" ht="15.75" thickBot="1" x14ac:dyDescent="0.3">
      <c r="A26" s="432" t="s">
        <v>364</v>
      </c>
      <c r="B26" s="507">
        <v>124795</v>
      </c>
      <c r="C26" s="571">
        <v>1</v>
      </c>
      <c r="D26" s="574">
        <v>124795</v>
      </c>
      <c r="E26" s="572"/>
      <c r="F26" s="573">
        <f>+'Income Statement'!J140</f>
        <v>0</v>
      </c>
      <c r="G26" s="573">
        <f>+'Income Statement'!O140</f>
        <v>0</v>
      </c>
      <c r="H26" s="573"/>
      <c r="J26" s="508">
        <v>1</v>
      </c>
      <c r="K26" s="509">
        <f t="shared" si="0"/>
        <v>0</v>
      </c>
      <c r="N26" s="250"/>
      <c r="O26" s="250"/>
      <c r="P26" s="250"/>
      <c r="Q26" s="250"/>
      <c r="R26" s="250" t="s">
        <v>314</v>
      </c>
      <c r="S26" s="250"/>
      <c r="T26" s="250"/>
      <c r="U26" s="253">
        <v>20</v>
      </c>
      <c r="V26" s="253">
        <v>0</v>
      </c>
      <c r="W26" s="253">
        <v>20</v>
      </c>
      <c r="X26" s="254">
        <v>1</v>
      </c>
    </row>
    <row r="27" spans="1:24" x14ac:dyDescent="0.2">
      <c r="A27" s="432" t="s">
        <v>453</v>
      </c>
      <c r="B27" s="507">
        <v>750750</v>
      </c>
      <c r="C27" s="571">
        <v>1</v>
      </c>
      <c r="D27" s="572">
        <v>750750</v>
      </c>
      <c r="E27" s="572"/>
      <c r="F27" s="573">
        <f>+'Income Statement'!J148+'Income Statement'!J155</f>
        <v>0</v>
      </c>
      <c r="G27" s="573">
        <f>+'Income Statement'!O153</f>
        <v>0</v>
      </c>
      <c r="H27" s="573"/>
      <c r="J27" s="508">
        <v>1</v>
      </c>
      <c r="K27" s="509">
        <f t="shared" si="0"/>
        <v>0</v>
      </c>
      <c r="N27" s="250"/>
      <c r="O27" s="250"/>
      <c r="P27" s="250"/>
      <c r="Q27" s="250" t="s">
        <v>315</v>
      </c>
      <c r="R27" s="250"/>
      <c r="S27" s="250"/>
      <c r="T27" s="250"/>
      <c r="U27" s="251">
        <v>139</v>
      </c>
      <c r="V27" s="251">
        <v>50</v>
      </c>
      <c r="W27" s="251">
        <v>89</v>
      </c>
      <c r="X27" s="252">
        <v>2.78</v>
      </c>
    </row>
    <row r="28" spans="1:24" ht="13.5" thickBot="1" x14ac:dyDescent="0.25">
      <c r="A28" s="432" t="s">
        <v>366</v>
      </c>
      <c r="B28" s="507">
        <v>8694000</v>
      </c>
      <c r="C28" s="571">
        <v>0.3</v>
      </c>
      <c r="D28" s="572">
        <v>2608200</v>
      </c>
      <c r="E28" s="572"/>
      <c r="F28" s="573">
        <f>+'Income Statement'!J142</f>
        <v>997569.59</v>
      </c>
      <c r="G28" s="573">
        <f>+'Income Statement'!O142</f>
        <v>10129565.225</v>
      </c>
      <c r="H28" s="573">
        <v>9000000</v>
      </c>
      <c r="J28" s="508">
        <v>1</v>
      </c>
      <c r="K28" s="509">
        <f t="shared" si="0"/>
        <v>9000000</v>
      </c>
      <c r="N28" s="250"/>
      <c r="O28" s="250"/>
      <c r="P28" s="250"/>
      <c r="Q28" s="250" t="s">
        <v>316</v>
      </c>
      <c r="R28" s="250"/>
      <c r="S28" s="250"/>
      <c r="T28" s="250"/>
      <c r="U28" s="251">
        <v>135231</v>
      </c>
      <c r="V28" s="251">
        <v>293200</v>
      </c>
      <c r="W28" s="251">
        <v>-157969</v>
      </c>
      <c r="X28" s="252">
        <v>0.46122000000000002</v>
      </c>
    </row>
    <row r="29" spans="1:24" ht="13.5" thickBot="1" x14ac:dyDescent="0.25">
      <c r="A29" s="432" t="s">
        <v>367</v>
      </c>
      <c r="B29" s="507">
        <v>936000</v>
      </c>
      <c r="C29" s="571">
        <v>0.3</v>
      </c>
      <c r="D29" s="572">
        <v>280800</v>
      </c>
      <c r="E29" s="572"/>
      <c r="F29" s="573">
        <f>+'Income Statement'!J143</f>
        <v>0</v>
      </c>
      <c r="G29" s="573">
        <f>+'Income Statement'!O143+'Income Statement'!O151</f>
        <v>519485.424</v>
      </c>
      <c r="H29" s="573">
        <f>43300*8</f>
        <v>346400</v>
      </c>
      <c r="J29" s="508">
        <v>1</v>
      </c>
      <c r="K29" s="509">
        <f t="shared" si="0"/>
        <v>346400</v>
      </c>
      <c r="N29" s="250"/>
      <c r="O29" s="250"/>
      <c r="P29" s="250" t="s">
        <v>317</v>
      </c>
      <c r="Q29" s="250"/>
      <c r="R29" s="250"/>
      <c r="S29" s="250"/>
      <c r="T29" s="250"/>
      <c r="U29" s="257">
        <v>135370</v>
      </c>
      <c r="V29" s="257">
        <v>293250</v>
      </c>
      <c r="W29" s="257">
        <v>-157880</v>
      </c>
      <c r="X29" s="258">
        <v>0.46161999999999997</v>
      </c>
    </row>
    <row r="30" spans="1:24" ht="15.75" thickBot="1" x14ac:dyDescent="0.3">
      <c r="A30" s="432" t="s">
        <v>450</v>
      </c>
      <c r="B30" s="572">
        <v>152500</v>
      </c>
      <c r="C30" s="571">
        <v>1</v>
      </c>
      <c r="D30" s="572">
        <v>152500</v>
      </c>
      <c r="E30" s="572"/>
      <c r="F30" s="573">
        <f>+'Income Statement'!J154</f>
        <v>-4811.08</v>
      </c>
      <c r="G30" s="573"/>
      <c r="H30" s="573">
        <v>200000</v>
      </c>
      <c r="J30" s="508">
        <v>0</v>
      </c>
      <c r="K30" s="509">
        <f t="shared" si="0"/>
        <v>0</v>
      </c>
      <c r="N30" s="250"/>
      <c r="O30" s="250"/>
      <c r="P30" s="250"/>
      <c r="Q30" s="250" t="s">
        <v>321</v>
      </c>
      <c r="R30" s="250"/>
      <c r="S30" s="250"/>
      <c r="T30" s="250"/>
      <c r="U30" s="249">
        <v>0</v>
      </c>
      <c r="V30" s="251">
        <v>34560</v>
      </c>
      <c r="W30" s="251">
        <v>-34560</v>
      </c>
      <c r="X30" s="252">
        <v>0</v>
      </c>
    </row>
    <row r="31" spans="1:24" ht="13.5" thickBot="1" x14ac:dyDescent="0.25">
      <c r="A31" s="432" t="s">
        <v>438</v>
      </c>
      <c r="B31" s="507">
        <v>614730</v>
      </c>
      <c r="C31" s="571">
        <v>0.8</v>
      </c>
      <c r="D31" s="572">
        <v>491784</v>
      </c>
      <c r="E31" s="572"/>
      <c r="F31" s="573">
        <f>+'Income Statement'!J145</f>
        <v>10039.32</v>
      </c>
      <c r="G31" s="573">
        <f>+'Income Statement'!O145</f>
        <v>0</v>
      </c>
      <c r="H31" s="577">
        <v>0</v>
      </c>
      <c r="J31" s="508">
        <v>0.3</v>
      </c>
      <c r="K31" s="509">
        <f t="shared" si="0"/>
        <v>0</v>
      </c>
      <c r="N31" s="250" t="s">
        <v>218</v>
      </c>
      <c r="O31" s="250"/>
      <c r="P31" s="250"/>
      <c r="Q31" s="250"/>
      <c r="R31" s="250"/>
      <c r="S31" s="250"/>
      <c r="T31" s="250"/>
      <c r="U31" s="255">
        <v>-61156</v>
      </c>
      <c r="V31" s="255">
        <v>-491310</v>
      </c>
      <c r="W31" s="255">
        <v>430154</v>
      </c>
      <c r="X31" s="256">
        <v>0.12447999999999999</v>
      </c>
    </row>
    <row r="32" spans="1:24" ht="13.5" thickBot="1" x14ac:dyDescent="0.25">
      <c r="A32" s="432" t="s">
        <v>449</v>
      </c>
      <c r="B32" s="510"/>
      <c r="C32" s="571"/>
      <c r="D32" s="572"/>
      <c r="E32" s="572"/>
      <c r="F32" s="573"/>
      <c r="G32" s="573">
        <f>+'Income Statement'!O146</f>
        <v>0</v>
      </c>
      <c r="H32" s="577">
        <v>0</v>
      </c>
      <c r="J32" s="508"/>
      <c r="K32" s="509"/>
      <c r="N32" s="250"/>
      <c r="O32" s="250"/>
      <c r="P32" s="250"/>
      <c r="Q32" s="250"/>
      <c r="R32" s="250"/>
      <c r="S32" s="250"/>
      <c r="T32" s="250"/>
      <c r="U32" s="255"/>
      <c r="V32" s="255"/>
      <c r="W32" s="255"/>
      <c r="X32" s="256"/>
    </row>
    <row r="33" spans="1:24" ht="13.5" thickBot="1" x14ac:dyDescent="0.25">
      <c r="A33" s="578" t="s">
        <v>439</v>
      </c>
      <c r="B33" s="579">
        <v>750000</v>
      </c>
      <c r="C33" s="580">
        <v>0.8</v>
      </c>
      <c r="D33" s="581">
        <v>600000</v>
      </c>
      <c r="E33" s="581"/>
      <c r="F33" s="582">
        <f>+'Income Statement'!J147</f>
        <v>15724.25</v>
      </c>
      <c r="G33" s="582">
        <f>+'Income Statement'!O147</f>
        <v>0</v>
      </c>
      <c r="H33" s="582">
        <v>0</v>
      </c>
      <c r="J33" s="508">
        <v>0</v>
      </c>
      <c r="K33" s="509">
        <f t="shared" si="0"/>
        <v>0</v>
      </c>
      <c r="N33" s="250"/>
      <c r="O33" s="250"/>
      <c r="P33" s="250"/>
      <c r="Q33" s="250"/>
      <c r="R33" s="250"/>
      <c r="S33" s="250"/>
      <c r="T33" s="250"/>
      <c r="U33" s="259">
        <v>303616</v>
      </c>
      <c r="V33" s="259">
        <v>-288158</v>
      </c>
      <c r="W33" s="259">
        <v>591774</v>
      </c>
      <c r="X33" s="260">
        <v>-1.0536399999999999</v>
      </c>
    </row>
    <row r="34" spans="1:24" ht="6" customHeight="1" thickBot="1" x14ac:dyDescent="0.25">
      <c r="A34" s="511"/>
      <c r="B34" s="510"/>
      <c r="C34" s="465"/>
      <c r="D34" s="510"/>
      <c r="E34" s="512"/>
      <c r="F34" s="612"/>
      <c r="G34" s="612"/>
      <c r="H34" s="612"/>
      <c r="J34" s="508"/>
      <c r="K34" s="509"/>
      <c r="N34" s="250"/>
      <c r="O34" s="250"/>
      <c r="P34" s="250"/>
      <c r="Q34" s="250"/>
      <c r="R34" s="250"/>
      <c r="S34" s="250"/>
      <c r="T34" s="250"/>
      <c r="U34" s="297"/>
      <c r="V34" s="297"/>
      <c r="W34" s="297"/>
      <c r="X34" s="298"/>
    </row>
    <row r="35" spans="1:24" s="104" customFormat="1" ht="16.5" thickBot="1" x14ac:dyDescent="0.3">
      <c r="A35" s="324" t="s">
        <v>14</v>
      </c>
      <c r="B35" s="487">
        <v>610701</v>
      </c>
      <c r="C35" s="488">
        <v>0.9</v>
      </c>
      <c r="D35" s="496"/>
      <c r="E35" s="610"/>
      <c r="F35" s="496">
        <f>SUM(F20:F33)</f>
        <v>1479292.0799999998</v>
      </c>
      <c r="G35" s="496">
        <f>SUM(G20:G33)</f>
        <v>10869457.739</v>
      </c>
      <c r="H35" s="496">
        <f>SUM(H20:H33)</f>
        <v>10556400</v>
      </c>
      <c r="I35" s="487">
        <f>H35-E35</f>
        <v>10556400</v>
      </c>
      <c r="J35" s="497" t="e">
        <f>I35/E35</f>
        <v>#DIV/0!</v>
      </c>
      <c r="K35" s="303"/>
      <c r="N35" s="304"/>
      <c r="O35" s="304"/>
      <c r="P35" s="304"/>
      <c r="Q35" s="304"/>
      <c r="R35" s="304"/>
      <c r="S35" s="305" t="s">
        <v>297</v>
      </c>
      <c r="T35" s="305"/>
      <c r="U35" s="306">
        <v>1375</v>
      </c>
      <c r="V35" s="306">
        <v>8760</v>
      </c>
      <c r="W35" s="306">
        <v>-7385</v>
      </c>
      <c r="X35" s="307">
        <v>0.15695999999999999</v>
      </c>
    </row>
    <row r="36" spans="1:24" s="104" customFormat="1" ht="15.75" x14ac:dyDescent="0.25">
      <c r="A36" s="324" t="s">
        <v>452</v>
      </c>
      <c r="B36" s="487"/>
      <c r="C36" s="488"/>
      <c r="D36" s="496"/>
      <c r="E36" s="610"/>
      <c r="F36" s="496">
        <f>+F37-F35</f>
        <v>2429155.71</v>
      </c>
      <c r="G36" s="496">
        <f>+G37-G35</f>
        <v>-3009613.9390000002</v>
      </c>
      <c r="H36" s="496">
        <f>+H37-H35</f>
        <v>-8788400</v>
      </c>
      <c r="I36" s="487"/>
      <c r="J36" s="497"/>
      <c r="K36" s="303"/>
      <c r="N36" s="304"/>
      <c r="O36" s="304"/>
      <c r="P36" s="304"/>
      <c r="Q36" s="304"/>
      <c r="R36" s="304"/>
      <c r="S36" s="305"/>
      <c r="T36" s="305"/>
      <c r="U36" s="310"/>
      <c r="V36" s="310"/>
      <c r="W36" s="310"/>
      <c r="X36" s="311"/>
    </row>
    <row r="37" spans="1:24" s="104" customFormat="1" ht="16.5" thickBot="1" x14ac:dyDescent="0.3">
      <c r="A37" s="498" t="s">
        <v>503</v>
      </c>
      <c r="B37" s="448">
        <v>628405</v>
      </c>
      <c r="C37" s="502">
        <v>0.71</v>
      </c>
      <c r="D37" s="466"/>
      <c r="E37" s="611"/>
      <c r="F37" s="567">
        <f>+F16</f>
        <v>3908447.79</v>
      </c>
      <c r="G37" s="567">
        <f>+G16</f>
        <v>7859843.7999999998</v>
      </c>
      <c r="H37" s="567">
        <f>+H16</f>
        <v>1768000</v>
      </c>
      <c r="I37" s="501">
        <f>H37-E37</f>
        <v>1768000</v>
      </c>
      <c r="J37" s="500" t="e">
        <f>I37/E37</f>
        <v>#DIV/0!</v>
      </c>
      <c r="K37" s="342"/>
      <c r="N37" s="304"/>
      <c r="O37" s="304"/>
      <c r="P37" s="304"/>
      <c r="Q37" s="304"/>
      <c r="R37" s="304" t="s">
        <v>298</v>
      </c>
      <c r="S37" s="305"/>
      <c r="T37" s="305"/>
      <c r="U37" s="310">
        <v>46932</v>
      </c>
      <c r="V37" s="310">
        <v>204000</v>
      </c>
      <c r="W37" s="310">
        <v>-157068</v>
      </c>
      <c r="X37" s="311">
        <v>0.23005999999999999</v>
      </c>
    </row>
    <row r="38" spans="1:24" ht="16.5" thickBot="1" x14ac:dyDescent="0.3">
      <c r="A38" s="334" t="s">
        <v>59</v>
      </c>
      <c r="B38" s="501">
        <v>17704</v>
      </c>
      <c r="C38" s="502">
        <v>0.09</v>
      </c>
      <c r="D38" s="503"/>
      <c r="E38" s="503"/>
      <c r="F38" s="520">
        <f>+F37-F35-F36</f>
        <v>0</v>
      </c>
      <c r="G38" s="520">
        <f>+G37-G35-G36</f>
        <v>0</v>
      </c>
      <c r="H38" s="520">
        <f>+H37-H35-H36</f>
        <v>0</v>
      </c>
    </row>
    <row r="39" spans="1:24" ht="6" customHeight="1" x14ac:dyDescent="0.2"/>
    <row r="40" spans="1:24" x14ac:dyDescent="0.2">
      <c r="G40" s="149">
        <f>+G35-'Income Statement'!O156</f>
        <v>0</v>
      </c>
      <c r="H40" s="585"/>
    </row>
  </sheetData>
  <mergeCells count="4">
    <mergeCell ref="A1:H1"/>
    <mergeCell ref="A2:H2"/>
    <mergeCell ref="A3:H3"/>
    <mergeCell ref="A4:H4"/>
  </mergeCells>
  <pageMargins left="0.4" right="0.2" top="0.6" bottom="0.5" header="0.3" footer="0.3"/>
  <pageSetup scale="93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63"/>
  <sheetViews>
    <sheetView showGridLines="0" zoomScale="130" zoomScaleNormal="130" workbookViewId="0">
      <pane ySplit="7" topLeftCell="A41" activePane="bottomLeft" state="frozenSplit"/>
      <selection activeCell="F29" sqref="F29"/>
      <selection pane="bottomLeft" activeCell="F29" sqref="F29"/>
    </sheetView>
  </sheetViews>
  <sheetFormatPr defaultRowHeight="12.75" x14ac:dyDescent="0.2"/>
  <cols>
    <col min="1" max="1" width="55" style="2" customWidth="1"/>
    <col min="2" max="3" width="15.28515625" style="2" hidden="1" customWidth="1"/>
    <col min="4" max="4" width="18" style="2" customWidth="1"/>
    <col min="5" max="5" width="16.140625" style="2" customWidth="1"/>
    <col min="6" max="6" width="15.85546875" style="2" customWidth="1"/>
    <col min="7" max="7" width="16.28515625" style="2" hidden="1" customWidth="1"/>
    <col min="8" max="8" width="14" style="2" hidden="1" customWidth="1"/>
    <col min="9" max="9" width="27.140625" style="504" hidden="1" customWidth="1"/>
    <col min="10" max="10" width="4.7109375" customWidth="1"/>
    <col min="12" max="22" width="0" hidden="1" customWidth="1"/>
    <col min="23" max="23" width="11.140625" customWidth="1"/>
    <col min="24" max="24" width="13.85546875" customWidth="1"/>
    <col min="26" max="28" width="28.28515625" customWidth="1"/>
  </cols>
  <sheetData>
    <row r="1" spans="1:22" ht="18" x14ac:dyDescent="0.25">
      <c r="A1" s="715" t="s">
        <v>32</v>
      </c>
      <c r="B1" s="716"/>
      <c r="C1" s="716"/>
      <c r="D1" s="716"/>
      <c r="E1" s="716"/>
      <c r="F1" s="716"/>
      <c r="G1" s="716"/>
      <c r="H1" s="716"/>
      <c r="I1" s="717"/>
    </row>
    <row r="2" spans="1:22" ht="24" thickBot="1" x14ac:dyDescent="0.4">
      <c r="A2" s="718" t="s">
        <v>92</v>
      </c>
      <c r="B2" s="719"/>
      <c r="C2" s="719"/>
      <c r="D2" s="719"/>
      <c r="E2" s="719"/>
      <c r="F2" s="719"/>
      <c r="G2" s="719"/>
      <c r="H2" s="719"/>
      <c r="I2" s="720"/>
    </row>
    <row r="3" spans="1:22" ht="21.75" thickTop="1" thickBot="1" x14ac:dyDescent="0.35">
      <c r="A3" s="721" t="s">
        <v>432</v>
      </c>
      <c r="B3" s="722"/>
      <c r="C3" s="722"/>
      <c r="D3" s="722"/>
      <c r="E3" s="722"/>
      <c r="F3" s="723"/>
      <c r="G3" s="723"/>
      <c r="H3" s="723"/>
      <c r="I3" s="724"/>
      <c r="L3" s="261"/>
      <c r="M3" s="261"/>
      <c r="N3" s="261"/>
      <c r="O3" s="261"/>
      <c r="P3" s="261"/>
      <c r="Q3" s="261"/>
      <c r="R3" s="261"/>
      <c r="S3" s="262" t="s">
        <v>248</v>
      </c>
      <c r="T3" s="262" t="s">
        <v>12</v>
      </c>
      <c r="U3" s="262" t="s">
        <v>95</v>
      </c>
      <c r="V3" s="262" t="s">
        <v>69</v>
      </c>
    </row>
    <row r="4" spans="1:22" ht="15.75" thickTop="1" x14ac:dyDescent="0.25">
      <c r="A4" s="725" t="s">
        <v>415</v>
      </c>
      <c r="B4" s="726"/>
      <c r="C4" s="726"/>
      <c r="D4" s="726"/>
      <c r="E4" s="726"/>
      <c r="F4" s="727"/>
      <c r="G4" s="727"/>
      <c r="H4" s="727"/>
      <c r="I4" s="728"/>
      <c r="L4" s="250" t="s">
        <v>96</v>
      </c>
      <c r="M4" s="250"/>
      <c r="N4" s="250"/>
      <c r="O4" s="250"/>
      <c r="P4" s="250"/>
      <c r="Q4" s="250"/>
      <c r="R4" s="250"/>
      <c r="S4" s="251"/>
      <c r="T4" s="251"/>
      <c r="U4" s="251"/>
      <c r="V4" s="252"/>
    </row>
    <row r="5" spans="1:22" ht="15.75" x14ac:dyDescent="0.25">
      <c r="A5" s="263" t="s">
        <v>330</v>
      </c>
      <c r="B5" s="137" t="s">
        <v>324</v>
      </c>
      <c r="C5" s="2">
        <f>1.25</f>
        <v>1.25</v>
      </c>
      <c r="E5" s="453"/>
      <c r="F5" s="453"/>
      <c r="G5" s="23"/>
      <c r="H5" s="454"/>
      <c r="I5" s="455"/>
      <c r="L5" s="250"/>
      <c r="M5" s="250"/>
      <c r="N5" s="250" t="s">
        <v>74</v>
      </c>
      <c r="O5" s="250"/>
      <c r="P5" s="250"/>
      <c r="Q5" s="250"/>
      <c r="R5" s="250"/>
      <c r="S5" s="251"/>
      <c r="T5" s="251"/>
      <c r="U5" s="251"/>
      <c r="V5" s="252"/>
    </row>
    <row r="6" spans="1:22" ht="22.5" customHeight="1" thickBot="1" x14ac:dyDescent="0.25">
      <c r="A6" s="263"/>
      <c r="B6" s="110" t="s">
        <v>323</v>
      </c>
      <c r="C6" s="220" t="s">
        <v>325</v>
      </c>
      <c r="D6" s="212" t="s">
        <v>77</v>
      </c>
      <c r="E6" s="108" t="s">
        <v>12</v>
      </c>
      <c r="F6" s="108" t="s">
        <v>12</v>
      </c>
      <c r="G6" s="456" t="s">
        <v>0</v>
      </c>
      <c r="H6" s="457" t="s">
        <v>9</v>
      </c>
      <c r="I6" s="283"/>
      <c r="L6" s="250"/>
      <c r="M6" s="250"/>
      <c r="N6" s="250"/>
      <c r="O6" s="250" t="s">
        <v>249</v>
      </c>
      <c r="P6" s="250"/>
      <c r="Q6" s="250"/>
      <c r="R6" s="250"/>
      <c r="S6" s="251">
        <v>529980</v>
      </c>
      <c r="T6" s="251">
        <v>734928</v>
      </c>
      <c r="U6" s="251">
        <v>-204948</v>
      </c>
      <c r="V6" s="252">
        <v>0.72113000000000005</v>
      </c>
    </row>
    <row r="7" spans="1:22" ht="15.75" x14ac:dyDescent="0.25">
      <c r="A7" s="523" t="s">
        <v>26</v>
      </c>
      <c r="B7" s="548"/>
      <c r="C7" s="548"/>
      <c r="D7" s="544" t="s">
        <v>93</v>
      </c>
      <c r="E7" s="544" t="s">
        <v>93</v>
      </c>
      <c r="F7" s="545" t="s">
        <v>244</v>
      </c>
      <c r="G7" s="458"/>
      <c r="H7" s="459"/>
      <c r="I7" s="285" t="s">
        <v>329</v>
      </c>
      <c r="L7" s="250"/>
      <c r="M7" s="250"/>
      <c r="N7" s="250"/>
      <c r="O7" s="250" t="s">
        <v>250</v>
      </c>
      <c r="P7" s="250"/>
      <c r="Q7" s="250"/>
      <c r="R7" s="250"/>
      <c r="S7" s="251">
        <v>678</v>
      </c>
      <c r="T7" s="251">
        <v>3500</v>
      </c>
      <c r="U7" s="251">
        <v>-2822</v>
      </c>
      <c r="V7" s="252">
        <v>0.19370999999999999</v>
      </c>
    </row>
    <row r="8" spans="1:22" s="2" customFormat="1" x14ac:dyDescent="0.2">
      <c r="A8" s="137" t="s">
        <v>17</v>
      </c>
      <c r="B8" s="460">
        <v>529980</v>
      </c>
      <c r="C8" s="461">
        <v>0.72</v>
      </c>
      <c r="D8" s="462">
        <f>'Amendment 2024'!G8</f>
        <v>879700</v>
      </c>
      <c r="E8" s="462">
        <v>734928</v>
      </c>
      <c r="F8" s="450">
        <f>1230*50*12 + 50/2*50*12</f>
        <v>753000</v>
      </c>
      <c r="G8" s="460">
        <f t="shared" ref="G8:G15" si="0">F8-E8</f>
        <v>18072</v>
      </c>
      <c r="H8" s="463">
        <f t="shared" ref="H8:H16" si="1">G8/E8</f>
        <v>2.4590163934426229E-2</v>
      </c>
      <c r="I8" s="285" t="s">
        <v>393</v>
      </c>
      <c r="L8" s="316"/>
      <c r="M8" s="316"/>
      <c r="N8" s="316"/>
      <c r="O8" s="316" t="s">
        <v>251</v>
      </c>
      <c r="P8" s="316"/>
      <c r="Q8" s="316"/>
      <c r="R8" s="316"/>
      <c r="S8" s="317"/>
      <c r="T8" s="317"/>
      <c r="U8" s="317"/>
      <c r="V8" s="318"/>
    </row>
    <row r="9" spans="1:22" s="2" customFormat="1" x14ac:dyDescent="0.2">
      <c r="A9" s="137" t="s">
        <v>16</v>
      </c>
      <c r="B9" s="460">
        <v>678</v>
      </c>
      <c r="C9" s="461">
        <v>0.19</v>
      </c>
      <c r="D9" s="462">
        <f>'Amendment 2024'!G9</f>
        <v>3000</v>
      </c>
      <c r="E9" s="462">
        <v>3500</v>
      </c>
      <c r="F9" s="450">
        <v>3500</v>
      </c>
      <c r="G9" s="460">
        <f t="shared" si="0"/>
        <v>0</v>
      </c>
      <c r="H9" s="463">
        <f t="shared" si="1"/>
        <v>0</v>
      </c>
      <c r="I9" s="285"/>
      <c r="L9" s="316"/>
      <c r="M9" s="316"/>
      <c r="N9" s="316"/>
      <c r="O9" s="316"/>
      <c r="P9" s="316" t="s">
        <v>252</v>
      </c>
      <c r="Q9" s="316"/>
      <c r="R9" s="316"/>
      <c r="S9" s="317">
        <v>32350</v>
      </c>
      <c r="T9" s="317">
        <v>0</v>
      </c>
      <c r="U9" s="317">
        <v>32350</v>
      </c>
      <c r="V9" s="318">
        <v>1</v>
      </c>
    </row>
    <row r="10" spans="1:22" s="2" customFormat="1" x14ac:dyDescent="0.2">
      <c r="A10" s="137" t="s">
        <v>94</v>
      </c>
      <c r="B10" s="460">
        <v>78516</v>
      </c>
      <c r="C10" s="461">
        <v>3.14</v>
      </c>
      <c r="D10" s="462">
        <f>'Amendment 2024'!G10</f>
        <v>51300</v>
      </c>
      <c r="E10" s="462">
        <v>25000</v>
      </c>
      <c r="F10" s="450">
        <v>75000</v>
      </c>
      <c r="G10" s="460">
        <f t="shared" si="0"/>
        <v>50000</v>
      </c>
      <c r="H10" s="463">
        <f t="shared" si="1"/>
        <v>2</v>
      </c>
      <c r="I10" s="285"/>
      <c r="L10" s="316"/>
      <c r="M10" s="316"/>
      <c r="N10" s="316"/>
      <c r="O10" s="316"/>
      <c r="P10" s="316" t="s">
        <v>253</v>
      </c>
      <c r="Q10" s="316"/>
      <c r="R10" s="316"/>
      <c r="S10" s="317">
        <v>20666</v>
      </c>
      <c r="T10" s="317">
        <v>0</v>
      </c>
      <c r="U10" s="317">
        <v>20666</v>
      </c>
      <c r="V10" s="318">
        <v>1</v>
      </c>
    </row>
    <row r="11" spans="1:22" s="2" customFormat="1" x14ac:dyDescent="0.2">
      <c r="A11" s="137" t="s">
        <v>15</v>
      </c>
      <c r="B11" s="460">
        <v>4747</v>
      </c>
      <c r="C11" s="461">
        <v>0.09</v>
      </c>
      <c r="D11" s="462">
        <f>'Amendment 2024'!G11</f>
        <v>103200</v>
      </c>
      <c r="E11" s="462">
        <v>55141.200000000004</v>
      </c>
      <c r="F11" s="450">
        <v>56200</v>
      </c>
      <c r="G11" s="460">
        <f t="shared" si="0"/>
        <v>1058.7999999999956</v>
      </c>
      <c r="H11" s="463">
        <f t="shared" si="1"/>
        <v>1.9201613312731597E-2</v>
      </c>
      <c r="I11" s="285"/>
      <c r="L11" s="316"/>
      <c r="M11" s="316"/>
      <c r="N11" s="316"/>
      <c r="O11" s="316"/>
      <c r="P11" s="316" t="s">
        <v>254</v>
      </c>
      <c r="Q11" s="316"/>
      <c r="R11" s="316"/>
      <c r="S11" s="317">
        <v>25400</v>
      </c>
      <c r="T11" s="317">
        <v>0</v>
      </c>
      <c r="U11" s="317">
        <v>25400</v>
      </c>
      <c r="V11" s="318">
        <v>1</v>
      </c>
    </row>
    <row r="12" spans="1:22" s="2" customFormat="1" ht="13.5" thickBot="1" x14ac:dyDescent="0.25">
      <c r="A12" s="137" t="s">
        <v>19</v>
      </c>
      <c r="B12" s="460">
        <v>1560</v>
      </c>
      <c r="C12" s="461">
        <v>0.47</v>
      </c>
      <c r="D12" s="462">
        <f>'Amendment 2024'!G12</f>
        <v>21300</v>
      </c>
      <c r="E12" s="462">
        <v>3300</v>
      </c>
      <c r="F12" s="450">
        <v>3400</v>
      </c>
      <c r="G12" s="460">
        <f t="shared" si="0"/>
        <v>100</v>
      </c>
      <c r="H12" s="463">
        <f t="shared" si="1"/>
        <v>3.0303030303030304E-2</v>
      </c>
      <c r="I12" s="285"/>
      <c r="L12" s="316"/>
      <c r="M12" s="316"/>
      <c r="N12" s="316"/>
      <c r="O12" s="316"/>
      <c r="P12" s="316" t="s">
        <v>255</v>
      </c>
      <c r="Q12" s="316"/>
      <c r="R12" s="316"/>
      <c r="S12" s="320">
        <v>100</v>
      </c>
      <c r="T12" s="320">
        <v>25000</v>
      </c>
      <c r="U12" s="320">
        <v>-24900</v>
      </c>
      <c r="V12" s="321">
        <v>4.0000000000000001E-3</v>
      </c>
    </row>
    <row r="13" spans="1:22" s="2" customFormat="1" x14ac:dyDescent="0.2">
      <c r="A13" s="137" t="s">
        <v>21</v>
      </c>
      <c r="B13" s="460">
        <v>3398</v>
      </c>
      <c r="C13" s="461">
        <v>0.56000000000000005</v>
      </c>
      <c r="D13" s="462">
        <f>'Amendment 2024'!G13</f>
        <v>3300</v>
      </c>
      <c r="E13" s="462">
        <v>6018</v>
      </c>
      <c r="F13" s="450">
        <v>6100</v>
      </c>
      <c r="G13" s="460">
        <f t="shared" si="0"/>
        <v>82</v>
      </c>
      <c r="H13" s="463">
        <f t="shared" si="1"/>
        <v>1.3625789298770355E-2</v>
      </c>
      <c r="I13" s="285"/>
      <c r="L13" s="316"/>
      <c r="M13" s="316"/>
      <c r="N13" s="316"/>
      <c r="O13" s="316" t="s">
        <v>256</v>
      </c>
      <c r="P13" s="316"/>
      <c r="Q13" s="316"/>
      <c r="R13" s="316"/>
      <c r="S13" s="317">
        <v>78516</v>
      </c>
      <c r="T13" s="317">
        <v>25000</v>
      </c>
      <c r="U13" s="317">
        <v>53516</v>
      </c>
      <c r="V13" s="318">
        <v>3.1406399999999999</v>
      </c>
    </row>
    <row r="14" spans="1:22" s="2" customFormat="1" x14ac:dyDescent="0.2">
      <c r="A14" s="137" t="s">
        <v>72</v>
      </c>
      <c r="B14" s="460">
        <v>2366</v>
      </c>
      <c r="C14" s="461">
        <v>0.11</v>
      </c>
      <c r="D14" s="462">
        <f>'Amendment 2024'!G14</f>
        <v>100</v>
      </c>
      <c r="E14" s="462">
        <v>21000</v>
      </c>
      <c r="F14" s="450">
        <v>60000</v>
      </c>
      <c r="G14" s="460">
        <f t="shared" si="0"/>
        <v>39000</v>
      </c>
      <c r="H14" s="463">
        <f t="shared" si="1"/>
        <v>1.8571428571428572</v>
      </c>
      <c r="I14" s="285" t="s">
        <v>387</v>
      </c>
      <c r="L14" s="316"/>
      <c r="M14" s="316"/>
      <c r="N14" s="316"/>
      <c r="O14" s="316" t="s">
        <v>257</v>
      </c>
      <c r="P14" s="316"/>
      <c r="Q14" s="316"/>
      <c r="R14" s="316"/>
      <c r="S14" s="317"/>
      <c r="T14" s="317"/>
      <c r="U14" s="317"/>
      <c r="V14" s="318"/>
    </row>
    <row r="15" spans="1:22" s="2" customFormat="1" x14ac:dyDescent="0.2">
      <c r="A15" s="137" t="s">
        <v>83</v>
      </c>
      <c r="B15" s="460">
        <v>7160</v>
      </c>
      <c r="C15" s="461">
        <v>0.2</v>
      </c>
      <c r="D15" s="462">
        <f>'Amendment 2024'!G15</f>
        <v>439500</v>
      </c>
      <c r="E15" s="462">
        <v>35000</v>
      </c>
      <c r="F15" s="450">
        <v>7000</v>
      </c>
      <c r="G15" s="460">
        <f t="shared" si="0"/>
        <v>-28000</v>
      </c>
      <c r="H15" s="463">
        <f t="shared" si="1"/>
        <v>-0.8</v>
      </c>
      <c r="I15" s="285"/>
      <c r="L15" s="316"/>
      <c r="M15" s="316"/>
      <c r="N15" s="316"/>
      <c r="O15" s="316"/>
      <c r="P15" s="316" t="s">
        <v>258</v>
      </c>
      <c r="Q15" s="316"/>
      <c r="R15" s="316"/>
      <c r="S15" s="317">
        <v>4747</v>
      </c>
      <c r="T15" s="317">
        <v>55141</v>
      </c>
      <c r="U15" s="317">
        <v>-50394</v>
      </c>
      <c r="V15" s="318">
        <v>8.609E-2</v>
      </c>
    </row>
    <row r="16" spans="1:22" ht="15.75" x14ac:dyDescent="0.25">
      <c r="A16" s="421" t="s">
        <v>30</v>
      </c>
      <c r="B16" s="464">
        <v>628405</v>
      </c>
      <c r="C16" s="465">
        <v>0.71</v>
      </c>
      <c r="D16" s="466">
        <f>SUM(D8:D15)</f>
        <v>1501400</v>
      </c>
      <c r="E16" s="466">
        <v>883887.2</v>
      </c>
      <c r="F16" s="467">
        <f>SUM(F8:F15)</f>
        <v>964200</v>
      </c>
      <c r="G16" s="468">
        <f>SUM(G8:G15)</f>
        <v>80312.799999999988</v>
      </c>
      <c r="H16" s="469">
        <f t="shared" si="1"/>
        <v>9.0863178016380358E-2</v>
      </c>
      <c r="I16" s="285"/>
      <c r="J16" s="2"/>
      <c r="L16" s="250"/>
      <c r="M16" s="250"/>
      <c r="N16" s="250"/>
      <c r="O16" s="250"/>
      <c r="P16" s="250" t="s">
        <v>259</v>
      </c>
      <c r="Q16" s="250"/>
      <c r="R16" s="250"/>
      <c r="S16" s="251">
        <v>1560</v>
      </c>
      <c r="T16" s="251">
        <v>3300</v>
      </c>
      <c r="U16" s="251">
        <v>-1740</v>
      </c>
      <c r="V16" s="252">
        <v>0.47272999999999998</v>
      </c>
    </row>
    <row r="17" spans="1:22" ht="13.5" thickBot="1" x14ac:dyDescent="0.25">
      <c r="A17" s="470"/>
      <c r="B17" s="471"/>
      <c r="C17" s="465"/>
      <c r="D17" s="472"/>
      <c r="E17" s="472"/>
      <c r="F17" s="514"/>
      <c r="G17" s="473"/>
      <c r="H17" s="474"/>
      <c r="I17" s="285"/>
      <c r="J17" s="2"/>
      <c r="L17" s="250"/>
      <c r="M17" s="250"/>
      <c r="N17" s="250"/>
      <c r="O17" s="250"/>
      <c r="P17" s="250" t="s">
        <v>260</v>
      </c>
      <c r="Q17" s="250"/>
      <c r="R17" s="250"/>
      <c r="S17" s="253">
        <v>3398</v>
      </c>
      <c r="T17" s="253">
        <v>6018</v>
      </c>
      <c r="U17" s="253">
        <v>-2620</v>
      </c>
      <c r="V17" s="254">
        <v>0.56464000000000003</v>
      </c>
    </row>
    <row r="18" spans="1:22" ht="16.5" thickBot="1" x14ac:dyDescent="0.3">
      <c r="A18" s="425" t="s">
        <v>55</v>
      </c>
      <c r="B18" s="471"/>
      <c r="C18" s="465"/>
      <c r="D18" s="426" t="str">
        <f>D7</f>
        <v>2021</v>
      </c>
      <c r="E18" s="426" t="s">
        <v>93</v>
      </c>
      <c r="F18" s="546">
        <v>2022</v>
      </c>
      <c r="G18" s="475"/>
      <c r="H18" s="476"/>
      <c r="I18" s="285"/>
      <c r="J18" s="2"/>
      <c r="L18" s="250"/>
      <c r="M18" s="250"/>
      <c r="N18" s="250"/>
      <c r="O18" s="250" t="s">
        <v>261</v>
      </c>
      <c r="P18" s="250"/>
      <c r="Q18" s="250"/>
      <c r="R18" s="250"/>
      <c r="S18" s="251">
        <v>9705</v>
      </c>
      <c r="T18" s="251">
        <v>64459</v>
      </c>
      <c r="U18" s="251">
        <v>-54754</v>
      </c>
      <c r="V18" s="252">
        <v>0.15056</v>
      </c>
    </row>
    <row r="19" spans="1:22" ht="13.5" thickBot="1" x14ac:dyDescent="0.25">
      <c r="A19" s="427" t="s">
        <v>27</v>
      </c>
      <c r="B19" s="471"/>
      <c r="C19" s="465"/>
      <c r="D19" s="428"/>
      <c r="E19" s="428"/>
      <c r="F19" s="450"/>
      <c r="G19" s="477" t="s">
        <v>0</v>
      </c>
      <c r="H19" s="478" t="s">
        <v>9</v>
      </c>
      <c r="I19" s="285"/>
      <c r="J19" s="2"/>
      <c r="L19" s="250"/>
      <c r="M19" s="250"/>
      <c r="N19" s="250"/>
      <c r="O19" s="250" t="s">
        <v>262</v>
      </c>
      <c r="P19" s="250"/>
      <c r="Q19" s="250"/>
      <c r="R19" s="250"/>
      <c r="S19" s="251">
        <v>2366</v>
      </c>
      <c r="T19" s="251">
        <v>21000</v>
      </c>
      <c r="U19" s="251">
        <v>-18634</v>
      </c>
      <c r="V19" s="252">
        <v>0.11267000000000001</v>
      </c>
    </row>
    <row r="20" spans="1:22" ht="13.5" thickBot="1" x14ac:dyDescent="0.25">
      <c r="A20" s="479" t="s">
        <v>238</v>
      </c>
      <c r="B20" s="480"/>
      <c r="C20" s="465"/>
      <c r="D20" s="429"/>
      <c r="E20" s="429"/>
      <c r="F20" s="549"/>
      <c r="G20" s="481"/>
      <c r="H20" s="482"/>
      <c r="I20" s="285"/>
      <c r="J20" s="2"/>
      <c r="L20" s="250"/>
      <c r="M20" s="250"/>
      <c r="N20" s="250"/>
      <c r="O20" s="250" t="s">
        <v>263</v>
      </c>
      <c r="P20" s="250"/>
      <c r="Q20" s="250"/>
      <c r="R20" s="250"/>
      <c r="S20" s="251"/>
      <c r="T20" s="251"/>
      <c r="U20" s="251"/>
      <c r="V20" s="252"/>
    </row>
    <row r="21" spans="1:22" x14ac:dyDescent="0.2">
      <c r="A21" s="432" t="s">
        <v>87</v>
      </c>
      <c r="B21" s="471">
        <v>301</v>
      </c>
      <c r="C21" s="465">
        <v>0.08</v>
      </c>
      <c r="D21" s="462">
        <f>'Amendment 2024'!G20</f>
        <v>400</v>
      </c>
      <c r="E21" s="450">
        <v>4000</v>
      </c>
      <c r="F21" s="450">
        <v>3000</v>
      </c>
      <c r="G21" s="471">
        <f t="shared" ref="G21:G32" si="2">F21-E21</f>
        <v>-1000</v>
      </c>
      <c r="H21" s="483">
        <f t="shared" ref="H21:H33" si="3">G21/E21</f>
        <v>-0.25</v>
      </c>
      <c r="I21" s="285"/>
      <c r="J21" s="2"/>
      <c r="L21" s="250"/>
      <c r="M21" s="250"/>
      <c r="N21" s="250"/>
      <c r="O21" s="250"/>
      <c r="P21" s="250" t="s">
        <v>264</v>
      </c>
      <c r="Q21" s="250"/>
      <c r="R21" s="250"/>
      <c r="S21" s="251">
        <v>2651</v>
      </c>
      <c r="T21" s="251">
        <v>35000</v>
      </c>
      <c r="U21" s="251">
        <v>-32349</v>
      </c>
      <c r="V21" s="252">
        <v>7.5740000000000002E-2</v>
      </c>
    </row>
    <row r="22" spans="1:22" x14ac:dyDescent="0.2">
      <c r="A22" s="432" t="s">
        <v>417</v>
      </c>
      <c r="B22" s="471" t="s">
        <v>385</v>
      </c>
      <c r="C22" s="465">
        <v>0</v>
      </c>
      <c r="D22" s="462">
        <f>'Amendment 2024'!G21</f>
        <v>500</v>
      </c>
      <c r="E22" s="450">
        <v>200</v>
      </c>
      <c r="F22" s="450"/>
      <c r="G22" s="471">
        <f t="shared" si="2"/>
        <v>-200</v>
      </c>
      <c r="H22" s="483">
        <f t="shared" si="3"/>
        <v>-1</v>
      </c>
      <c r="I22" s="285" t="s">
        <v>331</v>
      </c>
      <c r="J22" s="2"/>
      <c r="L22" s="250"/>
      <c r="M22" s="250"/>
      <c r="N22" s="250"/>
      <c r="O22" s="250"/>
      <c r="P22" s="250" t="s">
        <v>265</v>
      </c>
      <c r="Q22" s="250"/>
      <c r="R22" s="250"/>
      <c r="S22" s="251">
        <v>441</v>
      </c>
      <c r="T22" s="251">
        <v>0</v>
      </c>
      <c r="U22" s="251">
        <v>441</v>
      </c>
      <c r="V22" s="252">
        <v>1</v>
      </c>
    </row>
    <row r="23" spans="1:22" ht="13.5" thickBot="1" x14ac:dyDescent="0.25">
      <c r="A23" s="432" t="s">
        <v>50</v>
      </c>
      <c r="B23" s="471">
        <v>558</v>
      </c>
      <c r="C23" s="465">
        <v>0.7</v>
      </c>
      <c r="D23" s="462">
        <f>'Amendment 2024'!G22</f>
        <v>1300</v>
      </c>
      <c r="E23" s="450">
        <v>800</v>
      </c>
      <c r="F23" s="450">
        <v>800</v>
      </c>
      <c r="G23" s="471">
        <f t="shared" si="2"/>
        <v>0</v>
      </c>
      <c r="H23" s="483">
        <f t="shared" si="3"/>
        <v>0</v>
      </c>
      <c r="I23" s="285"/>
      <c r="J23" s="2"/>
      <c r="L23" s="250"/>
      <c r="M23" s="250"/>
      <c r="N23" s="250"/>
      <c r="O23" s="250"/>
      <c r="P23" s="250" t="s">
        <v>266</v>
      </c>
      <c r="Q23" s="250"/>
      <c r="R23" s="250"/>
      <c r="S23" s="251">
        <v>4068</v>
      </c>
      <c r="T23" s="251">
        <v>0</v>
      </c>
      <c r="U23" s="251">
        <v>4068</v>
      </c>
      <c r="V23" s="252">
        <v>1</v>
      </c>
    </row>
    <row r="24" spans="1:22" ht="13.5" thickBot="1" x14ac:dyDescent="0.25">
      <c r="A24" s="432" t="s">
        <v>24</v>
      </c>
      <c r="B24" s="471" t="s">
        <v>385</v>
      </c>
      <c r="C24" s="465">
        <v>0</v>
      </c>
      <c r="D24" s="462">
        <f>'Amendment 2024'!G23</f>
        <v>22600</v>
      </c>
      <c r="E24" s="450">
        <v>15974.5</v>
      </c>
      <c r="F24" s="450">
        <v>16300</v>
      </c>
      <c r="G24" s="471">
        <f t="shared" si="2"/>
        <v>325.5</v>
      </c>
      <c r="H24" s="483">
        <f t="shared" si="3"/>
        <v>2.0376224607968951E-2</v>
      </c>
      <c r="I24" s="285"/>
      <c r="J24" s="2"/>
      <c r="L24" s="250"/>
      <c r="M24" s="250"/>
      <c r="N24" s="250"/>
      <c r="O24" s="250" t="s">
        <v>267</v>
      </c>
      <c r="P24" s="250"/>
      <c r="Q24" s="250"/>
      <c r="R24" s="250"/>
      <c r="S24" s="255">
        <v>7160</v>
      </c>
      <c r="T24" s="255">
        <v>35000</v>
      </c>
      <c r="U24" s="255">
        <v>-27840</v>
      </c>
      <c r="V24" s="256">
        <v>0.20457</v>
      </c>
    </row>
    <row r="25" spans="1:22" ht="13.5" thickBot="1" x14ac:dyDescent="0.25">
      <c r="A25" s="432" t="s">
        <v>85</v>
      </c>
      <c r="B25" s="471">
        <v>5260</v>
      </c>
      <c r="C25" s="465">
        <v>0.56999999999999995</v>
      </c>
      <c r="D25" s="462">
        <f>'Amendment 2024'!G24</f>
        <v>14000</v>
      </c>
      <c r="E25" s="450">
        <v>9180</v>
      </c>
      <c r="F25" s="450">
        <v>9400</v>
      </c>
      <c r="G25" s="471">
        <f t="shared" si="2"/>
        <v>220</v>
      </c>
      <c r="H25" s="483">
        <f t="shared" si="3"/>
        <v>2.3965141612200435E-2</v>
      </c>
      <c r="I25" s="285" t="s">
        <v>245</v>
      </c>
      <c r="J25" s="2"/>
      <c r="L25" s="250"/>
      <c r="M25" s="250"/>
      <c r="N25" s="250" t="s">
        <v>116</v>
      </c>
      <c r="O25" s="250"/>
      <c r="P25" s="250"/>
      <c r="Q25" s="250"/>
      <c r="R25" s="250"/>
      <c r="S25" s="257">
        <v>628405</v>
      </c>
      <c r="T25" s="257">
        <v>883887</v>
      </c>
      <c r="U25" s="257">
        <v>-255482</v>
      </c>
      <c r="V25" s="258">
        <v>0.71096000000000004</v>
      </c>
    </row>
    <row r="26" spans="1:22" x14ac:dyDescent="0.2">
      <c r="A26" s="432" t="s">
        <v>25</v>
      </c>
      <c r="B26" s="471">
        <v>550</v>
      </c>
      <c r="C26" s="465">
        <v>0.55000000000000004</v>
      </c>
      <c r="D26" s="462">
        <f>'Amendment 2024'!G25</f>
        <v>0</v>
      </c>
      <c r="E26" s="450">
        <v>1000</v>
      </c>
      <c r="F26" s="450">
        <v>5000</v>
      </c>
      <c r="G26" s="471">
        <f t="shared" si="2"/>
        <v>4000</v>
      </c>
      <c r="H26" s="483">
        <f t="shared" si="3"/>
        <v>4</v>
      </c>
      <c r="I26" s="285" t="s">
        <v>411</v>
      </c>
      <c r="J26" s="2"/>
      <c r="L26" s="250"/>
      <c r="M26" s="250" t="s">
        <v>117</v>
      </c>
      <c r="N26" s="250"/>
      <c r="O26" s="250"/>
      <c r="P26" s="250"/>
      <c r="Q26" s="250"/>
      <c r="R26" s="250"/>
      <c r="S26" s="251">
        <v>628405</v>
      </c>
      <c r="T26" s="251">
        <v>883887</v>
      </c>
      <c r="U26" s="251">
        <v>-255482</v>
      </c>
      <c r="V26" s="252">
        <v>0.71096000000000004</v>
      </c>
    </row>
    <row r="27" spans="1:22" x14ac:dyDescent="0.2">
      <c r="A27" s="432" t="s">
        <v>2</v>
      </c>
      <c r="B27" s="471">
        <v>10381</v>
      </c>
      <c r="C27" s="465">
        <v>0.73</v>
      </c>
      <c r="D27" s="462">
        <f>'Amendment 2024'!G26</f>
        <v>23000</v>
      </c>
      <c r="E27" s="450">
        <v>14280</v>
      </c>
      <c r="F27" s="450">
        <v>14600</v>
      </c>
      <c r="G27" s="471">
        <f t="shared" si="2"/>
        <v>320</v>
      </c>
      <c r="H27" s="483">
        <f t="shared" si="3"/>
        <v>2.2408963585434174E-2</v>
      </c>
      <c r="I27" s="285"/>
      <c r="J27" s="2"/>
      <c r="L27" s="250"/>
      <c r="M27" s="250"/>
      <c r="N27" s="250" t="s">
        <v>118</v>
      </c>
      <c r="O27" s="250"/>
      <c r="P27" s="250"/>
      <c r="Q27" s="250"/>
      <c r="R27" s="250"/>
      <c r="S27" s="251"/>
      <c r="T27" s="251"/>
      <c r="U27" s="251"/>
      <c r="V27" s="252"/>
    </row>
    <row r="28" spans="1:22" x14ac:dyDescent="0.2">
      <c r="A28" s="432" t="s">
        <v>84</v>
      </c>
      <c r="B28" s="471">
        <v>169000</v>
      </c>
      <c r="C28" s="465">
        <v>0.83</v>
      </c>
      <c r="D28" s="462">
        <f>'Amendment 2024'!G27</f>
        <v>185400</v>
      </c>
      <c r="E28" s="450">
        <v>204000</v>
      </c>
      <c r="F28" s="450">
        <v>215900</v>
      </c>
      <c r="G28" s="471">
        <f t="shared" si="2"/>
        <v>11900</v>
      </c>
      <c r="H28" s="483">
        <f t="shared" si="3"/>
        <v>5.8333333333333334E-2</v>
      </c>
      <c r="I28" s="285" t="s">
        <v>388</v>
      </c>
      <c r="J28" s="2"/>
      <c r="L28" s="250"/>
      <c r="M28" s="250"/>
      <c r="N28" s="250"/>
      <c r="O28" s="250" t="s">
        <v>27</v>
      </c>
      <c r="P28" s="250"/>
      <c r="Q28" s="250"/>
      <c r="R28" s="250"/>
      <c r="S28" s="251"/>
      <c r="T28" s="251"/>
      <c r="U28" s="251"/>
      <c r="V28" s="252"/>
    </row>
    <row r="29" spans="1:22" ht="13.5" customHeight="1" x14ac:dyDescent="0.2">
      <c r="A29" s="432" t="s">
        <v>86</v>
      </c>
      <c r="B29" s="471">
        <v>125950</v>
      </c>
      <c r="C29" s="465">
        <v>4.5</v>
      </c>
      <c r="D29" s="462" t="e">
        <f>'Amendment 2024'!#REF!</f>
        <v>#REF!</v>
      </c>
      <c r="E29" s="450">
        <v>28000</v>
      </c>
      <c r="F29" s="450">
        <v>105000</v>
      </c>
      <c r="G29" s="471">
        <f t="shared" si="2"/>
        <v>77000</v>
      </c>
      <c r="H29" s="483">
        <f t="shared" si="3"/>
        <v>2.75</v>
      </c>
      <c r="I29" s="285" t="s">
        <v>394</v>
      </c>
      <c r="J29" s="2"/>
      <c r="L29" s="250"/>
      <c r="M29" s="250"/>
      <c r="N29" s="250"/>
      <c r="O29" s="250"/>
      <c r="P29" s="250" t="s">
        <v>49</v>
      </c>
      <c r="Q29" s="250"/>
      <c r="R29" s="250"/>
      <c r="S29" s="251">
        <v>301</v>
      </c>
      <c r="T29" s="251">
        <v>4000</v>
      </c>
      <c r="U29" s="251">
        <v>-3699</v>
      </c>
      <c r="V29" s="252">
        <v>7.5249999999999997E-2</v>
      </c>
    </row>
    <row r="30" spans="1:22" x14ac:dyDescent="0.2">
      <c r="A30" s="432" t="s">
        <v>239</v>
      </c>
      <c r="B30" s="471">
        <v>268</v>
      </c>
      <c r="C30" s="465">
        <v>0.15</v>
      </c>
      <c r="D30" s="462" t="e">
        <f>'Amendment 2024'!#REF!</f>
        <v>#REF!</v>
      </c>
      <c r="E30" s="450">
        <v>1800</v>
      </c>
      <c r="F30" s="450">
        <v>2000</v>
      </c>
      <c r="G30" s="471">
        <f t="shared" si="2"/>
        <v>200</v>
      </c>
      <c r="H30" s="483">
        <f t="shared" si="3"/>
        <v>0.1111111111111111</v>
      </c>
      <c r="I30" s="285" t="s">
        <v>328</v>
      </c>
      <c r="J30" s="2"/>
      <c r="L30" s="250"/>
      <c r="M30" s="250"/>
      <c r="N30" s="250"/>
      <c r="O30" s="250"/>
      <c r="P30" s="250" t="s">
        <v>268</v>
      </c>
      <c r="Q30" s="250"/>
      <c r="R30" s="250"/>
      <c r="S30" s="251">
        <v>0</v>
      </c>
      <c r="T30" s="251">
        <v>200</v>
      </c>
      <c r="U30" s="251">
        <v>-200</v>
      </c>
      <c r="V30" s="252">
        <v>0</v>
      </c>
    </row>
    <row r="31" spans="1:22" x14ac:dyDescent="0.2">
      <c r="A31" s="432" t="s">
        <v>23</v>
      </c>
      <c r="B31" s="471" t="s">
        <v>385</v>
      </c>
      <c r="C31" s="465">
        <v>0</v>
      </c>
      <c r="D31" s="462">
        <f>'Amendment 2024'!G28</f>
        <v>126500</v>
      </c>
      <c r="E31" s="450">
        <v>1836</v>
      </c>
      <c r="F31" s="450">
        <v>1900</v>
      </c>
      <c r="G31" s="471">
        <f t="shared" si="2"/>
        <v>64</v>
      </c>
      <c r="H31" s="483">
        <f t="shared" si="3"/>
        <v>3.4858387799564274E-2</v>
      </c>
      <c r="I31" s="285"/>
      <c r="J31" s="2"/>
      <c r="L31" s="250"/>
      <c r="M31" s="250"/>
      <c r="N31" s="250"/>
      <c r="O31" s="250"/>
      <c r="P31" s="250" t="s">
        <v>269</v>
      </c>
      <c r="Q31" s="250"/>
      <c r="R31" s="250"/>
      <c r="S31" s="251">
        <v>558</v>
      </c>
      <c r="T31" s="251">
        <v>800</v>
      </c>
      <c r="U31" s="251">
        <v>-242</v>
      </c>
      <c r="V31" s="252">
        <v>0.69750000000000001</v>
      </c>
    </row>
    <row r="32" spans="1:22" x14ac:dyDescent="0.2">
      <c r="A32" s="432" t="s">
        <v>31</v>
      </c>
      <c r="B32" s="471">
        <v>4178</v>
      </c>
      <c r="C32" s="465">
        <v>0.6</v>
      </c>
      <c r="D32" s="462">
        <f>'Amendment 2024'!G29</f>
        <v>800</v>
      </c>
      <c r="E32" s="450">
        <v>7000</v>
      </c>
      <c r="F32" s="450">
        <v>7200</v>
      </c>
      <c r="G32" s="471">
        <f t="shared" si="2"/>
        <v>200</v>
      </c>
      <c r="H32" s="483">
        <f t="shared" si="3"/>
        <v>2.8571428571428571E-2</v>
      </c>
      <c r="I32" s="285"/>
      <c r="J32" s="2"/>
      <c r="L32" s="250"/>
      <c r="M32" s="250"/>
      <c r="N32" s="250"/>
      <c r="O32" s="250"/>
      <c r="P32" s="250" t="s">
        <v>270</v>
      </c>
      <c r="Q32" s="250"/>
      <c r="R32" s="250"/>
      <c r="S32" s="251">
        <v>0</v>
      </c>
      <c r="T32" s="251">
        <v>15975</v>
      </c>
      <c r="U32" s="251">
        <v>-15975</v>
      </c>
      <c r="V32" s="252">
        <v>0</v>
      </c>
    </row>
    <row r="33" spans="1:23" ht="15.75" x14ac:dyDescent="0.25">
      <c r="A33" s="421" t="s">
        <v>48</v>
      </c>
      <c r="B33" s="464">
        <v>316446</v>
      </c>
      <c r="C33" s="465">
        <v>1.1000000000000001</v>
      </c>
      <c r="D33" s="467" t="e">
        <f>SUM(D21:D32)</f>
        <v>#REF!</v>
      </c>
      <c r="E33" s="467">
        <v>288070.5</v>
      </c>
      <c r="F33" s="467">
        <f>SUM(F21:F32)</f>
        <v>381100</v>
      </c>
      <c r="G33" s="468">
        <f>SUM(G21:G32)</f>
        <v>93029.5</v>
      </c>
      <c r="H33" s="469">
        <f t="shared" si="3"/>
        <v>0.32294004419057143</v>
      </c>
      <c r="I33" s="285"/>
      <c r="J33" s="2"/>
      <c r="L33" s="250"/>
      <c r="M33" s="250"/>
      <c r="N33" s="250"/>
      <c r="O33" s="250"/>
      <c r="P33" s="250" t="s">
        <v>271</v>
      </c>
      <c r="Q33" s="250"/>
      <c r="R33" s="250"/>
      <c r="S33" s="251"/>
      <c r="T33" s="251"/>
      <c r="U33" s="251"/>
      <c r="V33" s="252"/>
    </row>
    <row r="34" spans="1:23" ht="13.5" thickBot="1" x14ac:dyDescent="0.25">
      <c r="A34" s="204"/>
      <c r="B34" s="484"/>
      <c r="C34" s="465"/>
      <c r="D34" s="485"/>
      <c r="E34" s="485"/>
      <c r="F34" s="550"/>
      <c r="G34" s="486"/>
      <c r="H34" s="474"/>
      <c r="I34" s="285"/>
      <c r="J34" s="2"/>
      <c r="L34" s="250"/>
      <c r="M34" s="250"/>
      <c r="N34" s="250"/>
      <c r="O34" s="250"/>
      <c r="P34" s="250"/>
      <c r="Q34" s="250" t="s">
        <v>272</v>
      </c>
      <c r="R34" s="250"/>
      <c r="S34" s="251">
        <v>2246</v>
      </c>
      <c r="T34" s="251">
        <v>9180</v>
      </c>
      <c r="U34" s="251">
        <v>-6934</v>
      </c>
      <c r="V34" s="252">
        <v>0.24465999999999999</v>
      </c>
    </row>
    <row r="35" spans="1:23" ht="13.5" thickBot="1" x14ac:dyDescent="0.25">
      <c r="A35" s="436" t="s">
        <v>46</v>
      </c>
      <c r="B35" s="471"/>
      <c r="C35" s="465"/>
      <c r="D35" s="462"/>
      <c r="E35" s="462"/>
      <c r="F35" s="450"/>
      <c r="G35" s="471"/>
      <c r="H35" s="483"/>
      <c r="I35" s="285"/>
      <c r="J35" s="2"/>
      <c r="L35" s="250"/>
      <c r="M35" s="250"/>
      <c r="N35" s="250"/>
      <c r="O35" s="250"/>
      <c r="P35" s="250"/>
      <c r="Q35" s="250" t="s">
        <v>273</v>
      </c>
      <c r="R35" s="250"/>
      <c r="S35" s="253">
        <v>3014</v>
      </c>
      <c r="T35" s="253">
        <v>0</v>
      </c>
      <c r="U35" s="253">
        <v>3014</v>
      </c>
      <c r="V35" s="254">
        <v>1</v>
      </c>
    </row>
    <row r="36" spans="1:23" ht="15" x14ac:dyDescent="0.25">
      <c r="A36" s="559" t="s">
        <v>44</v>
      </c>
      <c r="B36" s="471"/>
      <c r="C36" s="465"/>
      <c r="D36" s="462"/>
      <c r="E36" s="462"/>
      <c r="F36" s="450"/>
      <c r="G36" s="471"/>
      <c r="H36" s="483"/>
      <c r="I36" s="285"/>
      <c r="J36" s="2"/>
      <c r="K36" s="112" t="s">
        <v>434</v>
      </c>
      <c r="L36" s="250"/>
      <c r="M36" s="250"/>
      <c r="N36" s="250"/>
      <c r="O36" s="250"/>
      <c r="P36" s="250" t="s">
        <v>274</v>
      </c>
      <c r="Q36" s="250"/>
      <c r="R36" s="250"/>
      <c r="S36" s="251">
        <v>5260</v>
      </c>
      <c r="T36" s="251">
        <v>9180</v>
      </c>
      <c r="U36" s="251">
        <v>-3920</v>
      </c>
      <c r="V36" s="252">
        <v>0.57298000000000004</v>
      </c>
    </row>
    <row r="37" spans="1:23" x14ac:dyDescent="0.2">
      <c r="A37" s="432" t="s">
        <v>418</v>
      </c>
      <c r="B37" s="471">
        <v>544</v>
      </c>
      <c r="C37" s="465">
        <v>0.36</v>
      </c>
      <c r="D37" s="462">
        <f>'Amendment 2024'!G34</f>
        <v>0</v>
      </c>
      <c r="E37" s="462">
        <v>1530</v>
      </c>
      <c r="F37" s="450">
        <v>1800</v>
      </c>
      <c r="G37" s="471">
        <f t="shared" ref="G37:G55" si="4">F37-E37</f>
        <v>270</v>
      </c>
      <c r="H37" s="483">
        <f>G37/E37</f>
        <v>0.17647058823529413</v>
      </c>
      <c r="I37" s="285"/>
      <c r="J37" s="2"/>
      <c r="L37" s="250"/>
      <c r="M37" s="250"/>
      <c r="N37" s="250"/>
      <c r="O37" s="250"/>
      <c r="P37" s="250" t="s">
        <v>275</v>
      </c>
      <c r="Q37" s="250"/>
      <c r="R37" s="250"/>
      <c r="S37" s="251">
        <v>550</v>
      </c>
      <c r="T37" s="251">
        <v>1000</v>
      </c>
      <c r="U37" s="251">
        <v>-450</v>
      </c>
      <c r="V37" s="252">
        <v>0.55000000000000004</v>
      </c>
    </row>
    <row r="38" spans="1:23" x14ac:dyDescent="0.2">
      <c r="A38" s="432" t="s">
        <v>33</v>
      </c>
      <c r="B38" s="471">
        <v>187</v>
      </c>
      <c r="C38" s="465">
        <v>0.15</v>
      </c>
      <c r="D38" s="462">
        <f>'Amendment 2024'!G35</f>
        <v>0</v>
      </c>
      <c r="E38" s="462">
        <v>1224</v>
      </c>
      <c r="F38" s="450">
        <v>1300</v>
      </c>
      <c r="G38" s="471">
        <f t="shared" si="4"/>
        <v>76</v>
      </c>
      <c r="H38" s="483">
        <f>G38/E38</f>
        <v>6.2091503267973858E-2</v>
      </c>
      <c r="I38" s="285"/>
      <c r="L38" s="250"/>
      <c r="M38" s="250"/>
      <c r="N38" s="250"/>
      <c r="O38" s="250"/>
      <c r="P38" s="250" t="s">
        <v>276</v>
      </c>
      <c r="Q38" s="250"/>
      <c r="R38" s="250"/>
      <c r="S38" s="251"/>
      <c r="T38" s="251"/>
      <c r="U38" s="251"/>
      <c r="V38" s="252"/>
    </row>
    <row r="39" spans="1:23" x14ac:dyDescent="0.2">
      <c r="A39" s="432" t="s">
        <v>34</v>
      </c>
      <c r="B39" s="471">
        <v>342</v>
      </c>
      <c r="C39" s="465">
        <v>0.43</v>
      </c>
      <c r="D39" s="462">
        <f>'Amendment 2024'!G36</f>
        <v>1200</v>
      </c>
      <c r="E39" s="462">
        <v>800</v>
      </c>
      <c r="F39" s="450">
        <v>2000</v>
      </c>
      <c r="G39" s="471">
        <f t="shared" si="4"/>
        <v>1200</v>
      </c>
      <c r="H39" s="483">
        <f>G39/E39</f>
        <v>1.5</v>
      </c>
      <c r="I39" s="285" t="s">
        <v>247</v>
      </c>
      <c r="L39" s="250"/>
      <c r="M39" s="250"/>
      <c r="N39" s="250"/>
      <c r="O39" s="250"/>
      <c r="P39" s="250"/>
      <c r="Q39" s="250" t="s">
        <v>277</v>
      </c>
      <c r="R39" s="250"/>
      <c r="S39" s="251">
        <v>1749</v>
      </c>
      <c r="T39" s="251">
        <v>2280</v>
      </c>
      <c r="U39" s="251">
        <v>-531</v>
      </c>
      <c r="V39" s="252">
        <v>0.76710999999999996</v>
      </c>
    </row>
    <row r="40" spans="1:23" ht="15" x14ac:dyDescent="0.25">
      <c r="A40" s="432" t="s">
        <v>35</v>
      </c>
      <c r="B40" s="471">
        <v>21</v>
      </c>
      <c r="C40" s="465">
        <v>0.03</v>
      </c>
      <c r="D40" s="560">
        <f>'Amendment 2024'!G37</f>
        <v>0</v>
      </c>
      <c r="E40" s="462">
        <v>650</v>
      </c>
      <c r="F40" s="450">
        <v>700</v>
      </c>
      <c r="G40" s="471">
        <f t="shared" si="4"/>
        <v>50</v>
      </c>
      <c r="H40" s="483">
        <f>G40/E40</f>
        <v>7.6923076923076927E-2</v>
      </c>
      <c r="I40" s="285"/>
      <c r="L40" s="250"/>
      <c r="M40" s="250"/>
      <c r="N40" s="250"/>
      <c r="O40" s="250"/>
      <c r="P40" s="250"/>
      <c r="Q40" s="250" t="s">
        <v>278</v>
      </c>
      <c r="R40" s="250"/>
      <c r="S40" s="251">
        <v>250</v>
      </c>
      <c r="T40" s="251">
        <v>0</v>
      </c>
      <c r="U40" s="251">
        <v>250</v>
      </c>
      <c r="V40" s="252">
        <v>1</v>
      </c>
    </row>
    <row r="41" spans="1:23" ht="15" x14ac:dyDescent="0.25">
      <c r="A41" s="559" t="s">
        <v>43</v>
      </c>
      <c r="B41" s="471"/>
      <c r="C41" s="465"/>
      <c r="D41" s="462">
        <f>'Amendment 2024'!G38</f>
        <v>1500</v>
      </c>
      <c r="E41" s="462"/>
      <c r="F41" s="450"/>
      <c r="G41" s="471">
        <f t="shared" si="4"/>
        <v>0</v>
      </c>
      <c r="H41" s="483"/>
      <c r="I41" s="285"/>
      <c r="L41" s="250"/>
      <c r="M41" s="250"/>
      <c r="N41" s="250"/>
      <c r="O41" s="250"/>
      <c r="P41" s="250"/>
      <c r="Q41" s="250" t="s">
        <v>279</v>
      </c>
      <c r="R41" s="250"/>
      <c r="S41" s="251">
        <v>3132</v>
      </c>
      <c r="T41" s="251">
        <v>1200</v>
      </c>
      <c r="U41" s="251">
        <v>1932</v>
      </c>
      <c r="V41" s="252">
        <v>2.61</v>
      </c>
    </row>
    <row r="42" spans="1:23" x14ac:dyDescent="0.2">
      <c r="A42" s="432" t="s">
        <v>39</v>
      </c>
      <c r="B42" s="471">
        <v>5281</v>
      </c>
      <c r="C42" s="465">
        <v>0.26</v>
      </c>
      <c r="D42" s="462">
        <f>'Amendment 2024'!G39</f>
        <v>700</v>
      </c>
      <c r="E42" s="462">
        <v>20000</v>
      </c>
      <c r="F42" s="450">
        <f>E42*1.02</f>
        <v>20400</v>
      </c>
      <c r="G42" s="471">
        <f t="shared" si="4"/>
        <v>400</v>
      </c>
      <c r="H42" s="483">
        <f t="shared" ref="H42:H47" si="5">G42/E42</f>
        <v>0.02</v>
      </c>
      <c r="I42" s="285" t="s">
        <v>332</v>
      </c>
      <c r="L42" s="250"/>
      <c r="M42" s="250"/>
      <c r="N42" s="250"/>
      <c r="O42" s="250"/>
      <c r="P42" s="250"/>
      <c r="Q42" s="250" t="s">
        <v>280</v>
      </c>
      <c r="R42" s="250"/>
      <c r="S42" s="251">
        <v>1670</v>
      </c>
      <c r="T42" s="251">
        <v>6000</v>
      </c>
      <c r="U42" s="251">
        <v>-4330</v>
      </c>
      <c r="V42" s="252">
        <v>0.27833000000000002</v>
      </c>
    </row>
    <row r="43" spans="1:23" x14ac:dyDescent="0.2">
      <c r="A43" s="432" t="s">
        <v>51</v>
      </c>
      <c r="B43" s="471">
        <v>480</v>
      </c>
      <c r="C43" s="465">
        <v>0.05</v>
      </c>
      <c r="D43" s="462">
        <f>'Amendment 2024'!G40</f>
        <v>0</v>
      </c>
      <c r="E43" s="462">
        <v>10000</v>
      </c>
      <c r="F43" s="450">
        <v>10000</v>
      </c>
      <c r="G43" s="471">
        <f t="shared" si="4"/>
        <v>0</v>
      </c>
      <c r="H43" s="483">
        <f t="shared" si="5"/>
        <v>0</v>
      </c>
      <c r="I43" s="285"/>
      <c r="L43" s="250"/>
      <c r="M43" s="250"/>
      <c r="N43" s="250"/>
      <c r="O43" s="250"/>
      <c r="P43" s="250"/>
      <c r="Q43" s="250" t="s">
        <v>281</v>
      </c>
      <c r="R43" s="250"/>
      <c r="S43" s="251">
        <v>3110</v>
      </c>
      <c r="T43" s="251">
        <v>4800</v>
      </c>
      <c r="U43" s="251">
        <v>-1690</v>
      </c>
      <c r="V43" s="252">
        <v>0.64792000000000005</v>
      </c>
    </row>
    <row r="44" spans="1:23" ht="13.5" thickBot="1" x14ac:dyDescent="0.25">
      <c r="A44" s="432" t="s">
        <v>29</v>
      </c>
      <c r="B44" s="471">
        <v>5149</v>
      </c>
      <c r="C44" s="465">
        <v>1.1399999999999999</v>
      </c>
      <c r="D44" s="462">
        <f>'Amendment 2024'!G41</f>
        <v>100</v>
      </c>
      <c r="E44" s="462">
        <v>4500</v>
      </c>
      <c r="F44" s="450">
        <v>4600</v>
      </c>
      <c r="G44" s="471">
        <f t="shared" si="4"/>
        <v>100</v>
      </c>
      <c r="H44" s="483">
        <f t="shared" si="5"/>
        <v>2.2222222222222223E-2</v>
      </c>
      <c r="I44" s="285" t="s">
        <v>333</v>
      </c>
      <c r="L44" s="250"/>
      <c r="M44" s="250"/>
      <c r="N44" s="250"/>
      <c r="O44" s="250"/>
      <c r="P44" s="250"/>
      <c r="Q44" s="250" t="s">
        <v>282</v>
      </c>
      <c r="R44" s="250"/>
      <c r="S44" s="253">
        <v>470</v>
      </c>
      <c r="T44" s="253">
        <v>0</v>
      </c>
      <c r="U44" s="253">
        <v>470</v>
      </c>
      <c r="V44" s="254">
        <v>1</v>
      </c>
    </row>
    <row r="45" spans="1:23" x14ac:dyDescent="0.2">
      <c r="A45" s="432" t="s">
        <v>36</v>
      </c>
      <c r="B45" s="471">
        <v>5777</v>
      </c>
      <c r="C45" s="465">
        <v>0.96</v>
      </c>
      <c r="D45" s="462">
        <f>'Amendment 2024'!G42</f>
        <v>19800</v>
      </c>
      <c r="E45" s="462">
        <v>6000</v>
      </c>
      <c r="F45" s="450">
        <v>8000</v>
      </c>
      <c r="G45" s="471">
        <f t="shared" si="4"/>
        <v>2000</v>
      </c>
      <c r="H45" s="483">
        <f t="shared" si="5"/>
        <v>0.33333333333333331</v>
      </c>
      <c r="I45" s="285" t="s">
        <v>334</v>
      </c>
      <c r="L45" s="250"/>
      <c r="M45" s="250"/>
      <c r="N45" s="250"/>
      <c r="O45" s="250"/>
      <c r="P45" s="250" t="s">
        <v>283</v>
      </c>
      <c r="Q45" s="250"/>
      <c r="R45" s="250"/>
      <c r="S45" s="251">
        <v>10381</v>
      </c>
      <c r="T45" s="251">
        <v>14280</v>
      </c>
      <c r="U45" s="251">
        <v>-3899</v>
      </c>
      <c r="V45" s="252">
        <v>0.72696000000000005</v>
      </c>
    </row>
    <row r="46" spans="1:23" ht="15" x14ac:dyDescent="0.25">
      <c r="A46" s="432" t="s">
        <v>40</v>
      </c>
      <c r="B46" s="471">
        <v>664</v>
      </c>
      <c r="C46" s="465">
        <v>0.08</v>
      </c>
      <c r="D46" s="560">
        <f>'Amendment 2024'!G43</f>
        <v>900</v>
      </c>
      <c r="E46" s="462">
        <v>8500</v>
      </c>
      <c r="F46" s="450">
        <v>8700</v>
      </c>
      <c r="G46" s="471">
        <f t="shared" si="4"/>
        <v>200</v>
      </c>
      <c r="H46" s="483">
        <f t="shared" si="5"/>
        <v>2.3529411764705882E-2</v>
      </c>
      <c r="I46" s="285"/>
      <c r="L46" s="250"/>
      <c r="M46" s="250"/>
      <c r="N46" s="250"/>
      <c r="O46" s="250"/>
      <c r="P46" s="250" t="s">
        <v>284</v>
      </c>
      <c r="Q46" s="250"/>
      <c r="R46" s="250"/>
      <c r="S46" s="251"/>
      <c r="T46" s="251"/>
      <c r="U46" s="251"/>
      <c r="V46" s="252"/>
    </row>
    <row r="47" spans="1:23" ht="15" x14ac:dyDescent="0.25">
      <c r="A47" s="432" t="s">
        <v>37</v>
      </c>
      <c r="B47" s="471">
        <v>14581</v>
      </c>
      <c r="C47" s="465">
        <v>0.52</v>
      </c>
      <c r="D47" s="462">
        <f>'Amendment 2024'!G44</f>
        <v>3400</v>
      </c>
      <c r="E47" s="462">
        <v>28000</v>
      </c>
      <c r="F47" s="450">
        <v>28500</v>
      </c>
      <c r="G47" s="471">
        <f t="shared" si="4"/>
        <v>500</v>
      </c>
      <c r="H47" s="483">
        <f t="shared" si="5"/>
        <v>1.7857142857142856E-2</v>
      </c>
      <c r="I47" s="285" t="s">
        <v>412</v>
      </c>
      <c r="K47" s="561" t="s">
        <v>435</v>
      </c>
      <c r="L47" s="562"/>
      <c r="M47" s="562"/>
      <c r="N47" s="562"/>
      <c r="O47" s="562"/>
      <c r="P47" s="562"/>
      <c r="Q47" s="562" t="s">
        <v>285</v>
      </c>
      <c r="R47" s="562"/>
      <c r="S47" s="563"/>
      <c r="T47" s="563"/>
      <c r="U47" s="563"/>
      <c r="V47" s="564"/>
      <c r="W47" s="561"/>
    </row>
    <row r="48" spans="1:23" ht="15" x14ac:dyDescent="0.25">
      <c r="A48" s="559" t="s">
        <v>42</v>
      </c>
      <c r="B48" s="471"/>
      <c r="C48" s="465"/>
      <c r="D48" s="462">
        <f>'Amendment 2024'!G45</f>
        <v>10000</v>
      </c>
      <c r="E48" s="462"/>
      <c r="F48" s="450"/>
      <c r="G48" s="471">
        <f t="shared" si="4"/>
        <v>0</v>
      </c>
      <c r="H48" s="483"/>
      <c r="I48" s="285"/>
      <c r="K48" s="561" t="s">
        <v>433</v>
      </c>
      <c r="L48" s="562"/>
      <c r="M48" s="562"/>
      <c r="N48" s="562"/>
      <c r="O48" s="562"/>
      <c r="P48" s="562"/>
      <c r="Q48" s="562"/>
      <c r="R48" s="562" t="s">
        <v>286</v>
      </c>
      <c r="S48" s="563">
        <v>8527</v>
      </c>
      <c r="T48" s="563">
        <v>6840</v>
      </c>
      <c r="U48" s="563">
        <v>1687</v>
      </c>
      <c r="V48" s="564">
        <v>1.24664</v>
      </c>
      <c r="W48" s="565">
        <f>D40+D46+D53</f>
        <v>55200</v>
      </c>
    </row>
    <row r="49" spans="1:23" ht="13.5" thickBot="1" x14ac:dyDescent="0.25">
      <c r="A49" s="432" t="s">
        <v>41</v>
      </c>
      <c r="B49" s="471">
        <v>2076</v>
      </c>
      <c r="C49" s="465">
        <v>7.0000000000000007E-2</v>
      </c>
      <c r="D49" s="462">
        <f>'Amendment 2024'!G46</f>
        <v>900</v>
      </c>
      <c r="E49" s="462">
        <v>28560</v>
      </c>
      <c r="F49" s="450">
        <v>29200</v>
      </c>
      <c r="G49" s="471">
        <f t="shared" si="4"/>
        <v>640</v>
      </c>
      <c r="H49" s="483">
        <f t="shared" ref="H49:H55" si="6">G49/E49</f>
        <v>2.2408963585434174E-2</v>
      </c>
      <c r="I49" s="285" t="s">
        <v>335</v>
      </c>
      <c r="L49" s="250"/>
      <c r="M49" s="250"/>
      <c r="N49" s="250"/>
      <c r="O49" s="250"/>
      <c r="P49" s="250"/>
      <c r="Q49" s="266"/>
      <c r="R49" s="266" t="s">
        <v>287</v>
      </c>
      <c r="S49" s="269">
        <v>16611</v>
      </c>
      <c r="T49" s="269">
        <v>162000</v>
      </c>
      <c r="U49" s="269">
        <v>-145389</v>
      </c>
      <c r="V49" s="270">
        <v>0.10254000000000001</v>
      </c>
    </row>
    <row r="50" spans="1:23" x14ac:dyDescent="0.2">
      <c r="A50" s="432" t="s">
        <v>28</v>
      </c>
      <c r="B50" s="471">
        <v>33246</v>
      </c>
      <c r="C50" s="465">
        <v>0.72</v>
      </c>
      <c r="D50" s="462">
        <f>'Amendment 2024'!G47</f>
        <v>20300</v>
      </c>
      <c r="E50" s="462">
        <v>45900</v>
      </c>
      <c r="F50" s="450">
        <v>46800</v>
      </c>
      <c r="G50" s="471">
        <f t="shared" si="4"/>
        <v>900</v>
      </c>
      <c r="H50" s="483">
        <f t="shared" si="6"/>
        <v>1.9607843137254902E-2</v>
      </c>
      <c r="I50" s="285" t="s">
        <v>336</v>
      </c>
      <c r="L50" s="250"/>
      <c r="M50" s="250"/>
      <c r="N50" s="250"/>
      <c r="O50" s="250"/>
      <c r="P50" s="250"/>
      <c r="Q50" s="266" t="s">
        <v>288</v>
      </c>
      <c r="R50" s="266"/>
      <c r="S50" s="267">
        <v>25138</v>
      </c>
      <c r="T50" s="267">
        <v>168840</v>
      </c>
      <c r="U50" s="267">
        <v>-143702</v>
      </c>
      <c r="V50" s="268">
        <v>0.14888999999999999</v>
      </c>
    </row>
    <row r="51" spans="1:23" x14ac:dyDescent="0.2">
      <c r="A51" s="432" t="s">
        <v>419</v>
      </c>
      <c r="B51" s="471" t="s">
        <v>385</v>
      </c>
      <c r="C51" s="465">
        <v>0</v>
      </c>
      <c r="D51" s="462">
        <f>'Amendment 2024'!G48</f>
        <v>0</v>
      </c>
      <c r="E51" s="462">
        <v>3000</v>
      </c>
      <c r="F51" s="450">
        <v>5000</v>
      </c>
      <c r="G51" s="471">
        <f t="shared" si="4"/>
        <v>2000</v>
      </c>
      <c r="H51" s="483">
        <f t="shared" si="6"/>
        <v>0.66666666666666663</v>
      </c>
      <c r="I51" s="285" t="s">
        <v>247</v>
      </c>
      <c r="L51" s="250"/>
      <c r="M51" s="250"/>
      <c r="N51" s="250"/>
      <c r="O51" s="250"/>
      <c r="P51" s="250"/>
      <c r="Q51" s="266" t="s">
        <v>289</v>
      </c>
      <c r="R51" s="266"/>
      <c r="S51" s="267"/>
      <c r="T51" s="267"/>
      <c r="U51" s="267"/>
      <c r="V51" s="268"/>
    </row>
    <row r="52" spans="1:23" ht="13.5" thickBot="1" x14ac:dyDescent="0.25">
      <c r="A52" s="432" t="s">
        <v>52</v>
      </c>
      <c r="B52" s="471">
        <v>6</v>
      </c>
      <c r="C52" s="465">
        <v>0</v>
      </c>
      <c r="D52" s="462">
        <f>'Amendment 2024'!G49</f>
        <v>80100</v>
      </c>
      <c r="E52" s="462">
        <v>3000</v>
      </c>
      <c r="F52" s="450">
        <v>3100</v>
      </c>
      <c r="G52" s="471">
        <f t="shared" si="4"/>
        <v>100</v>
      </c>
      <c r="H52" s="483">
        <f t="shared" si="6"/>
        <v>3.3333333333333333E-2</v>
      </c>
      <c r="I52" s="285"/>
      <c r="L52" s="250"/>
      <c r="M52" s="250"/>
      <c r="N52" s="250"/>
      <c r="O52" s="250"/>
      <c r="P52" s="250"/>
      <c r="Q52" s="266"/>
      <c r="R52" s="266" t="s">
        <v>290</v>
      </c>
      <c r="S52" s="269">
        <v>20419</v>
      </c>
      <c r="T52" s="269">
        <v>26400</v>
      </c>
      <c r="U52" s="269">
        <v>-5981</v>
      </c>
      <c r="V52" s="270">
        <v>0.77344999999999997</v>
      </c>
    </row>
    <row r="53" spans="1:23" ht="15" x14ac:dyDescent="0.25">
      <c r="A53" s="432" t="s">
        <v>53</v>
      </c>
      <c r="B53" s="471">
        <v>118</v>
      </c>
      <c r="C53" s="465">
        <v>0.06</v>
      </c>
      <c r="D53" s="560">
        <f>'Amendment 2024'!G50</f>
        <v>54300</v>
      </c>
      <c r="E53" s="462">
        <v>2000</v>
      </c>
      <c r="F53" s="450">
        <v>2100</v>
      </c>
      <c r="G53" s="471">
        <f t="shared" si="4"/>
        <v>100</v>
      </c>
      <c r="H53" s="483">
        <f t="shared" si="6"/>
        <v>0.05</v>
      </c>
      <c r="I53" s="285"/>
      <c r="L53" s="250"/>
      <c r="M53" s="250"/>
      <c r="N53" s="250"/>
      <c r="O53" s="250"/>
      <c r="P53" s="250"/>
      <c r="Q53" s="266" t="s">
        <v>291</v>
      </c>
      <c r="R53" s="266"/>
      <c r="S53" s="267">
        <v>20419</v>
      </c>
      <c r="T53" s="267">
        <v>26400</v>
      </c>
      <c r="U53" s="267">
        <v>-5981</v>
      </c>
      <c r="V53" s="268">
        <v>0.77344999999999997</v>
      </c>
    </row>
    <row r="54" spans="1:23" ht="15.75" thickBot="1" x14ac:dyDescent="0.3">
      <c r="A54" s="432" t="s">
        <v>20</v>
      </c>
      <c r="B54" s="471">
        <v>783</v>
      </c>
      <c r="C54" s="465">
        <v>0.2</v>
      </c>
      <c r="D54" s="462">
        <f>'Amendment 2024'!G51</f>
        <v>0</v>
      </c>
      <c r="E54" s="462">
        <v>4000</v>
      </c>
      <c r="F54" s="450">
        <v>4100</v>
      </c>
      <c r="G54" s="471">
        <f t="shared" si="4"/>
        <v>100</v>
      </c>
      <c r="H54" s="483">
        <f t="shared" si="6"/>
        <v>2.5000000000000001E-2</v>
      </c>
      <c r="I54" s="285"/>
      <c r="L54" s="541"/>
      <c r="M54" s="541"/>
      <c r="N54" s="541"/>
      <c r="O54" s="541"/>
      <c r="P54" s="541"/>
      <c r="Q54" s="541" t="s">
        <v>292</v>
      </c>
      <c r="R54" s="541"/>
      <c r="S54" s="542"/>
      <c r="T54" s="542"/>
      <c r="U54" s="542"/>
      <c r="V54" s="543"/>
    </row>
    <row r="55" spans="1:23" s="104" customFormat="1" ht="16.5" thickBot="1" x14ac:dyDescent="0.3">
      <c r="A55" s="438" t="s">
        <v>47</v>
      </c>
      <c r="B55" s="487">
        <v>69255</v>
      </c>
      <c r="C55" s="488">
        <v>0.41</v>
      </c>
      <c r="D55" s="439">
        <f>SUM(D37:D54)</f>
        <v>193200</v>
      </c>
      <c r="E55" s="439">
        <v>167664</v>
      </c>
      <c r="F55" s="439">
        <f>SUM(F37:F54)</f>
        <v>176300</v>
      </c>
      <c r="G55" s="489">
        <f t="shared" si="4"/>
        <v>8636</v>
      </c>
      <c r="H55" s="490">
        <f t="shared" si="6"/>
        <v>5.150777745968127E-2</v>
      </c>
      <c r="I55" s="303"/>
      <c r="L55" s="304"/>
      <c r="M55" s="304"/>
      <c r="N55" s="304"/>
      <c r="O55" s="304"/>
      <c r="P55" s="304"/>
      <c r="Q55" s="305"/>
      <c r="R55" s="305" t="s">
        <v>293</v>
      </c>
      <c r="S55" s="310">
        <v>87</v>
      </c>
      <c r="T55" s="310">
        <v>360</v>
      </c>
      <c r="U55" s="310">
        <v>-273</v>
      </c>
      <c r="V55" s="311">
        <v>0.24167</v>
      </c>
      <c r="W55"/>
    </row>
    <row r="56" spans="1:23" s="104" customFormat="1" ht="16.5" thickBot="1" x14ac:dyDescent="0.3">
      <c r="A56" s="324"/>
      <c r="B56" s="491" t="e">
        <v>#REF!</v>
      </c>
      <c r="C56" s="488"/>
      <c r="D56" s="492"/>
      <c r="E56" s="492"/>
      <c r="F56" s="449"/>
      <c r="G56" s="489"/>
      <c r="H56" s="493"/>
      <c r="I56" s="303"/>
      <c r="L56" s="304"/>
      <c r="M56" s="304"/>
      <c r="N56" s="304"/>
      <c r="O56" s="304"/>
      <c r="P56" s="304"/>
      <c r="Q56" s="305"/>
      <c r="R56" s="305" t="s">
        <v>294</v>
      </c>
      <c r="S56" s="310">
        <v>241</v>
      </c>
      <c r="T56" s="310">
        <v>1800</v>
      </c>
      <c r="U56" s="310">
        <v>-1559</v>
      </c>
      <c r="V56" s="311">
        <v>0.13389000000000001</v>
      </c>
      <c r="W56"/>
    </row>
    <row r="57" spans="1:23" s="104" customFormat="1" ht="18" customHeight="1" thickBot="1" x14ac:dyDescent="0.3">
      <c r="A57" s="441" t="s">
        <v>391</v>
      </c>
      <c r="B57" s="487">
        <v>225000</v>
      </c>
      <c r="C57" s="488">
        <v>1</v>
      </c>
      <c r="D57" s="442">
        <f>E57</f>
        <v>225000</v>
      </c>
      <c r="E57" s="442">
        <v>225000</v>
      </c>
      <c r="F57" s="519">
        <f>15000000*0.02</f>
        <v>300000</v>
      </c>
      <c r="G57" s="489">
        <f>F57-E57</f>
        <v>75000</v>
      </c>
      <c r="H57" s="494">
        <f>G57/E57</f>
        <v>0.33333333333333331</v>
      </c>
      <c r="I57" s="285" t="s">
        <v>395</v>
      </c>
      <c r="J57" s="329"/>
      <c r="L57" s="304"/>
      <c r="M57" s="304"/>
      <c r="N57" s="304"/>
      <c r="O57" s="304"/>
      <c r="P57" s="304"/>
      <c r="Q57" s="305"/>
      <c r="R57" s="305" t="s">
        <v>295</v>
      </c>
      <c r="S57" s="310">
        <v>1030</v>
      </c>
      <c r="T57" s="310">
        <v>6480</v>
      </c>
      <c r="U57" s="310">
        <v>-5450</v>
      </c>
      <c r="V57" s="311">
        <v>0.15895000000000001</v>
      </c>
    </row>
    <row r="58" spans="1:23" s="104" customFormat="1" ht="16.5" thickBot="1" x14ac:dyDescent="0.3">
      <c r="A58" s="65"/>
      <c r="B58" s="487"/>
      <c r="C58" s="488"/>
      <c r="D58" s="158"/>
      <c r="E58" s="158"/>
      <c r="F58" s="451"/>
      <c r="G58" s="495"/>
      <c r="H58" s="490"/>
      <c r="I58" s="303"/>
      <c r="L58" s="304"/>
      <c r="M58" s="304"/>
      <c r="N58" s="304"/>
      <c r="O58" s="304"/>
      <c r="P58" s="304"/>
      <c r="Q58" s="305"/>
      <c r="R58" s="305" t="s">
        <v>296</v>
      </c>
      <c r="S58" s="310">
        <v>17</v>
      </c>
      <c r="T58" s="310">
        <v>120</v>
      </c>
      <c r="U58" s="310">
        <v>-103</v>
      </c>
      <c r="V58" s="311">
        <v>0.14166999999999999</v>
      </c>
    </row>
    <row r="59" spans="1:23" s="104" customFormat="1" ht="16.5" thickBot="1" x14ac:dyDescent="0.3">
      <c r="A59" s="498" t="s">
        <v>64</v>
      </c>
      <c r="B59" s="445">
        <v>628405</v>
      </c>
      <c r="C59" s="488">
        <v>0.71</v>
      </c>
      <c r="D59" s="499">
        <f>D16</f>
        <v>1501400</v>
      </c>
      <c r="E59" s="499">
        <v>883887.2</v>
      </c>
      <c r="F59" s="499">
        <f>F16</f>
        <v>964200</v>
      </c>
      <c r="G59" s="487">
        <f>F59-E59</f>
        <v>80312.800000000047</v>
      </c>
      <c r="H59" s="500">
        <f>G59/E59</f>
        <v>9.0863178016380428E-2</v>
      </c>
      <c r="I59" s="303"/>
      <c r="L59" s="304"/>
      <c r="M59" s="304"/>
      <c r="N59" s="304"/>
      <c r="O59" s="304"/>
      <c r="P59" s="304" t="s">
        <v>298</v>
      </c>
      <c r="Q59" s="305"/>
      <c r="R59" s="305"/>
      <c r="S59" s="310">
        <v>46932</v>
      </c>
      <c r="T59" s="310">
        <v>204000</v>
      </c>
      <c r="U59" s="310">
        <v>-157068</v>
      </c>
      <c r="V59" s="311">
        <v>0.23005999999999999</v>
      </c>
    </row>
    <row r="60" spans="1:23" s="104" customFormat="1" ht="16.5" thickBot="1" x14ac:dyDescent="0.3">
      <c r="A60" s="324" t="s">
        <v>14</v>
      </c>
      <c r="B60" s="487">
        <v>610701</v>
      </c>
      <c r="C60" s="488">
        <v>0.9</v>
      </c>
      <c r="D60" s="496" t="e">
        <f>D33+D55+D57</f>
        <v>#REF!</v>
      </c>
      <c r="E60" s="496">
        <v>680734.5</v>
      </c>
      <c r="F60" s="496">
        <f>F33+F55+F57</f>
        <v>857400</v>
      </c>
      <c r="G60" s="487">
        <f>F60-E60</f>
        <v>176665.5</v>
      </c>
      <c r="H60" s="497">
        <f>G60/E60</f>
        <v>0.25952188408256083</v>
      </c>
      <c r="I60" s="303"/>
      <c r="L60" s="304"/>
      <c r="M60" s="304"/>
      <c r="N60" s="304"/>
      <c r="O60" s="304"/>
      <c r="P60" s="304"/>
      <c r="Q60" s="305" t="s">
        <v>297</v>
      </c>
      <c r="R60" s="305"/>
      <c r="S60" s="306">
        <v>1375</v>
      </c>
      <c r="T60" s="306">
        <v>8760</v>
      </c>
      <c r="U60" s="306">
        <v>-7385</v>
      </c>
      <c r="V60" s="307">
        <v>0.15695999999999999</v>
      </c>
    </row>
    <row r="61" spans="1:23" s="104" customFormat="1" ht="16.5" thickBot="1" x14ac:dyDescent="0.3">
      <c r="A61" s="331"/>
      <c r="F61" s="547"/>
      <c r="I61" s="303"/>
      <c r="L61" s="304"/>
      <c r="M61" s="304"/>
      <c r="N61" s="304"/>
      <c r="O61" s="304"/>
      <c r="P61" s="304" t="s">
        <v>299</v>
      </c>
      <c r="Q61" s="304"/>
      <c r="R61" s="304"/>
      <c r="S61" s="332"/>
      <c r="T61" s="332"/>
      <c r="U61" s="332"/>
      <c r="V61" s="333"/>
    </row>
    <row r="62" spans="1:23" s="104" customFormat="1" ht="16.5" thickBot="1" x14ac:dyDescent="0.3">
      <c r="A62" s="515" t="s">
        <v>344</v>
      </c>
      <c r="B62" s="489"/>
      <c r="C62" s="516"/>
      <c r="D62" s="517" t="e">
        <f>D59-D60</f>
        <v>#REF!</v>
      </c>
      <c r="E62" s="518">
        <v>203152.69999999995</v>
      </c>
      <c r="F62" s="519">
        <f>F59-F60</f>
        <v>106800</v>
      </c>
      <c r="G62" s="487">
        <f>F62-E62</f>
        <v>-96352.699999999953</v>
      </c>
      <c r="H62" s="500"/>
      <c r="I62" s="303"/>
      <c r="L62" s="304"/>
      <c r="M62" s="304"/>
      <c r="N62" s="304"/>
      <c r="O62" s="304"/>
      <c r="P62" s="304"/>
      <c r="Q62" s="304" t="s">
        <v>300</v>
      </c>
      <c r="R62" s="304"/>
      <c r="S62" s="332">
        <v>7530</v>
      </c>
      <c r="T62" s="332">
        <v>6500</v>
      </c>
      <c r="U62" s="332">
        <v>1030</v>
      </c>
      <c r="V62" s="333">
        <v>1.15846</v>
      </c>
    </row>
    <row r="63" spans="1:23" s="104" customFormat="1" ht="16.5" thickBot="1" x14ac:dyDescent="0.3">
      <c r="A63" s="334" t="s">
        <v>59</v>
      </c>
      <c r="B63" s="501">
        <v>17704</v>
      </c>
      <c r="C63" s="502">
        <v>0.09</v>
      </c>
      <c r="D63" s="503" t="e">
        <f>D59-D62-D60</f>
        <v>#REF!</v>
      </c>
      <c r="E63" s="503">
        <f>E59-E62-E60</f>
        <v>0</v>
      </c>
      <c r="F63" s="520">
        <f>F59-F62-F60</f>
        <v>0</v>
      </c>
      <c r="G63" s="452">
        <f>F63-E63</f>
        <v>0</v>
      </c>
      <c r="H63" s="490"/>
      <c r="I63" s="338" t="s">
        <v>389</v>
      </c>
      <c r="L63" s="304"/>
      <c r="M63" s="304"/>
      <c r="N63" s="304"/>
      <c r="O63" s="304"/>
      <c r="P63" s="304"/>
      <c r="Q63" s="304"/>
      <c r="R63" s="304"/>
      <c r="S63" s="332"/>
      <c r="T63" s="332"/>
      <c r="U63" s="332"/>
      <c r="V63" s="333"/>
    </row>
  </sheetData>
  <mergeCells count="4">
    <mergeCell ref="A1:I1"/>
    <mergeCell ref="A2:I2"/>
    <mergeCell ref="A3:I3"/>
    <mergeCell ref="A4:I4"/>
  </mergeCells>
  <pageMargins left="0.4" right="0.2" top="0.6" bottom="0.5" header="0.3" footer="0.3"/>
  <pageSetup scale="7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38"/>
  <sheetViews>
    <sheetView showGridLines="0" zoomScaleNormal="100" workbookViewId="0">
      <pane ySplit="1" topLeftCell="A26" activePane="bottomLeft" state="frozenSplit"/>
      <selection activeCell="F29" sqref="F29"/>
      <selection pane="bottomLeft" activeCell="F29" sqref="F29"/>
    </sheetView>
  </sheetViews>
  <sheetFormatPr defaultRowHeight="12.75" x14ac:dyDescent="0.2"/>
  <cols>
    <col min="1" max="1" width="62.28515625" style="2" customWidth="1"/>
    <col min="2" max="3" width="15.28515625" style="2" hidden="1" customWidth="1"/>
    <col min="4" max="4" width="18" style="2" hidden="1" customWidth="1"/>
    <col min="5" max="5" width="16.140625" style="2" hidden="1" customWidth="1"/>
    <col min="6" max="6" width="16.85546875" style="2" customWidth="1"/>
    <col min="7" max="7" width="16.28515625" style="2" hidden="1" customWidth="1"/>
    <col min="8" max="8" width="14" style="2" hidden="1" customWidth="1"/>
    <col min="9" max="9" width="27.140625" style="504" hidden="1" customWidth="1"/>
    <col min="10" max="10" width="4.7109375" customWidth="1"/>
    <col min="12" max="22" width="0" hidden="1" customWidth="1"/>
    <col min="24" max="24" width="13.85546875" customWidth="1"/>
    <col min="26" max="28" width="28.28515625" customWidth="1"/>
  </cols>
  <sheetData>
    <row r="1" spans="1:22" ht="13.5" thickBot="1" x14ac:dyDescent="0.25"/>
    <row r="2" spans="1:22" ht="18" x14ac:dyDescent="0.25">
      <c r="A2" s="537" t="s">
        <v>32</v>
      </c>
      <c r="B2" s="293"/>
      <c r="C2" s="293"/>
      <c r="E2" s="521"/>
      <c r="F2" s="294"/>
      <c r="G2" s="293"/>
      <c r="H2" s="293"/>
      <c r="I2" s="294"/>
      <c r="L2" s="250"/>
      <c r="M2" s="250"/>
      <c r="N2" s="250"/>
      <c r="O2" s="250"/>
      <c r="P2" s="250"/>
      <c r="Q2" s="250"/>
      <c r="R2" s="250"/>
      <c r="S2" s="251"/>
      <c r="T2" s="251"/>
      <c r="U2" s="251"/>
      <c r="V2" s="252"/>
    </row>
    <row r="3" spans="1:22" ht="23.25" x14ac:dyDescent="0.35">
      <c r="A3" s="538" t="s">
        <v>436</v>
      </c>
      <c r="B3" s="247"/>
      <c r="C3" s="247"/>
      <c r="F3" s="295"/>
      <c r="G3" s="247"/>
      <c r="H3" s="247"/>
      <c r="I3" s="295"/>
      <c r="L3" s="250"/>
      <c r="M3" s="250"/>
      <c r="N3" s="250"/>
      <c r="O3" s="250"/>
      <c r="P3" s="250"/>
      <c r="Q3" s="250"/>
      <c r="R3" s="250"/>
      <c r="S3" s="251"/>
      <c r="T3" s="251"/>
      <c r="U3" s="251"/>
      <c r="V3" s="252"/>
    </row>
    <row r="4" spans="1:22" ht="14.25" customHeight="1" x14ac:dyDescent="0.35">
      <c r="A4" s="246"/>
      <c r="B4" s="247"/>
      <c r="C4" s="247"/>
      <c r="E4" s="247"/>
      <c r="F4" s="295"/>
      <c r="G4" s="247"/>
      <c r="H4" s="247"/>
      <c r="I4" s="285"/>
      <c r="L4" s="250"/>
      <c r="M4" s="250"/>
      <c r="N4" s="250"/>
      <c r="O4" s="250"/>
      <c r="P4" s="250"/>
      <c r="Q4" s="250"/>
      <c r="R4" s="250"/>
      <c r="S4" s="251"/>
      <c r="T4" s="251"/>
      <c r="U4" s="251"/>
      <c r="V4" s="252"/>
    </row>
    <row r="5" spans="1:22" ht="30" customHeight="1" thickBot="1" x14ac:dyDescent="0.4">
      <c r="A5" s="277" t="s">
        <v>341</v>
      </c>
      <c r="B5" s="471"/>
      <c r="C5" s="465"/>
      <c r="D5" s="212"/>
      <c r="E5" s="108"/>
      <c r="F5" s="531" t="s">
        <v>420</v>
      </c>
      <c r="G5" s="247"/>
      <c r="H5" s="247"/>
      <c r="I5" s="285"/>
      <c r="L5" s="250"/>
      <c r="M5" s="250"/>
      <c r="N5" s="250"/>
      <c r="O5" s="250"/>
      <c r="P5" s="250"/>
      <c r="Q5" s="250"/>
      <c r="R5" s="250"/>
      <c r="S5" s="251"/>
      <c r="T5" s="251"/>
      <c r="U5" s="251"/>
      <c r="V5" s="252"/>
    </row>
    <row r="6" spans="1:22" ht="14.25" customHeight="1" x14ac:dyDescent="0.35">
      <c r="A6" s="523" t="s">
        <v>26</v>
      </c>
      <c r="B6" s="524"/>
      <c r="C6" s="524"/>
      <c r="D6" s="525"/>
      <c r="E6" s="525"/>
      <c r="F6" s="555" t="s">
        <v>244</v>
      </c>
      <c r="G6" s="247"/>
      <c r="H6" s="247"/>
      <c r="I6" s="285"/>
      <c r="L6" s="250"/>
      <c r="M6" s="250"/>
      <c r="N6" s="250"/>
      <c r="O6" s="250"/>
      <c r="P6" s="250"/>
      <c r="Q6" s="250"/>
      <c r="R6" s="250"/>
      <c r="S6" s="251"/>
      <c r="T6" s="251"/>
      <c r="U6" s="251"/>
      <c r="V6" s="252"/>
    </row>
    <row r="7" spans="1:22" ht="14.25" customHeight="1" x14ac:dyDescent="0.35">
      <c r="A7" s="137" t="s">
        <v>375</v>
      </c>
      <c r="B7" s="247"/>
      <c r="C7" s="247"/>
      <c r="D7" s="462"/>
      <c r="E7" s="553"/>
      <c r="F7" s="462">
        <v>1100000</v>
      </c>
      <c r="H7" s="247"/>
      <c r="I7" s="505" t="s">
        <v>401</v>
      </c>
      <c r="L7" s="250"/>
      <c r="M7" s="250"/>
      <c r="N7" s="250"/>
      <c r="O7" s="250"/>
      <c r="P7" s="250"/>
      <c r="Q7" s="250"/>
      <c r="R7" s="250"/>
      <c r="S7" s="251"/>
      <c r="T7" s="251"/>
      <c r="U7" s="251"/>
      <c r="V7" s="252"/>
    </row>
    <row r="8" spans="1:22" ht="14.25" customHeight="1" x14ac:dyDescent="0.35">
      <c r="A8" s="137" t="s">
        <v>429</v>
      </c>
      <c r="B8" s="247"/>
      <c r="C8" s="247"/>
      <c r="D8" s="462"/>
      <c r="E8" s="553"/>
      <c r="F8" s="462">
        <v>100000</v>
      </c>
      <c r="H8" s="247"/>
      <c r="I8" s="505" t="s">
        <v>399</v>
      </c>
      <c r="L8" s="250"/>
      <c r="M8" s="250"/>
      <c r="N8" s="250"/>
      <c r="O8" s="250"/>
      <c r="P8" s="250"/>
      <c r="Q8" s="250"/>
      <c r="R8" s="250"/>
      <c r="S8" s="251"/>
      <c r="T8" s="251"/>
      <c r="U8" s="251"/>
      <c r="V8" s="252"/>
    </row>
    <row r="9" spans="1:22" ht="14.25" customHeight="1" x14ac:dyDescent="0.35">
      <c r="A9" s="137" t="s">
        <v>430</v>
      </c>
      <c r="B9" s="247"/>
      <c r="C9" s="247"/>
      <c r="D9" s="462"/>
      <c r="E9" s="553"/>
      <c r="F9" s="462"/>
      <c r="H9" s="247"/>
      <c r="I9" s="505"/>
      <c r="L9" s="250"/>
      <c r="M9" s="250"/>
      <c r="N9" s="250"/>
      <c r="O9" s="250"/>
      <c r="P9" s="250"/>
      <c r="Q9" s="250"/>
      <c r="R9" s="250"/>
      <c r="S9" s="251"/>
      <c r="T9" s="251"/>
      <c r="U9" s="251"/>
      <c r="V9" s="252"/>
    </row>
    <row r="10" spans="1:22" ht="14.25" customHeight="1" x14ac:dyDescent="0.35">
      <c r="A10" s="137" t="s">
        <v>381</v>
      </c>
      <c r="B10" s="247"/>
      <c r="C10" s="247"/>
      <c r="D10" s="462"/>
      <c r="E10" s="553"/>
      <c r="F10" s="462">
        <v>290000</v>
      </c>
      <c r="H10" s="247"/>
      <c r="I10" s="505">
        <v>50</v>
      </c>
      <c r="L10" s="250"/>
      <c r="M10" s="250"/>
      <c r="N10" s="250"/>
      <c r="O10" s="250"/>
      <c r="P10" s="250"/>
      <c r="Q10" s="250"/>
      <c r="R10" s="250"/>
      <c r="S10" s="251"/>
      <c r="T10" s="251"/>
      <c r="U10" s="251"/>
      <c r="V10" s="252"/>
    </row>
    <row r="11" spans="1:22" ht="14.25" customHeight="1" x14ac:dyDescent="0.35">
      <c r="A11" s="137" t="s">
        <v>396</v>
      </c>
      <c r="B11" s="247"/>
      <c r="C11" s="247"/>
      <c r="D11" s="462"/>
      <c r="E11" s="553"/>
      <c r="F11" s="556">
        <f>F34-F7-F8-F10-F12-F9</f>
        <v>5568600</v>
      </c>
      <c r="H11" s="247"/>
      <c r="I11" s="505" t="s">
        <v>400</v>
      </c>
      <c r="L11" s="250"/>
      <c r="M11" s="250"/>
      <c r="N11" s="250"/>
      <c r="O11" s="250"/>
      <c r="P11" s="250"/>
      <c r="Q11" s="250"/>
      <c r="R11" s="250"/>
      <c r="S11" s="251"/>
      <c r="T11" s="251"/>
      <c r="U11" s="251"/>
      <c r="V11" s="252"/>
    </row>
    <row r="12" spans="1:22" ht="14.25" customHeight="1" thickBot="1" x14ac:dyDescent="0.4">
      <c r="A12" s="540" t="s">
        <v>426</v>
      </c>
      <c r="B12" s="247"/>
      <c r="C12" s="247"/>
      <c r="D12" s="462"/>
      <c r="E12" s="553"/>
      <c r="F12" s="557">
        <v>0</v>
      </c>
      <c r="H12" s="247"/>
      <c r="I12" s="505"/>
      <c r="L12" s="250"/>
      <c r="M12" s="250"/>
      <c r="N12" s="250"/>
      <c r="O12" s="250"/>
      <c r="P12" s="250"/>
      <c r="Q12" s="250"/>
      <c r="R12" s="250"/>
      <c r="S12" s="251"/>
      <c r="T12" s="251"/>
      <c r="U12" s="251"/>
      <c r="V12" s="252"/>
    </row>
    <row r="13" spans="1:22" ht="14.25" customHeight="1" thickBot="1" x14ac:dyDescent="0.3">
      <c r="A13" s="526" t="s">
        <v>407</v>
      </c>
      <c r="B13" s="527">
        <f>SUM(B5:B11)</f>
        <v>0</v>
      </c>
      <c r="C13" s="513" t="e">
        <f>B13/E13</f>
        <v>#DIV/0!</v>
      </c>
      <c r="D13" s="528"/>
      <c r="E13" s="528"/>
      <c r="F13" s="554">
        <f>SUM(F7:F12)</f>
        <v>7058600</v>
      </c>
      <c r="G13" s="468">
        <f>SUM(G5:G11)</f>
        <v>0</v>
      </c>
      <c r="H13" s="469" t="e">
        <f>G13/E13</f>
        <v>#DIV/0!</v>
      </c>
      <c r="I13" s="285"/>
      <c r="L13" s="250"/>
      <c r="M13" s="250"/>
      <c r="N13" s="250"/>
      <c r="O13" s="250"/>
      <c r="P13" s="250" t="s">
        <v>259</v>
      </c>
      <c r="Q13" s="250"/>
      <c r="R13" s="250"/>
      <c r="S13" s="251">
        <v>1560</v>
      </c>
      <c r="T13" s="251">
        <v>3300</v>
      </c>
      <c r="U13" s="251">
        <v>-1740</v>
      </c>
      <c r="V13" s="252">
        <v>0.47272999999999998</v>
      </c>
    </row>
    <row r="14" spans="1:22" ht="14.25" customHeight="1" x14ac:dyDescent="0.35">
      <c r="A14" s="246"/>
      <c r="B14" s="247"/>
      <c r="C14" s="247"/>
      <c r="D14" s="247"/>
      <c r="E14" s="247"/>
      <c r="F14" s="295"/>
      <c r="G14" s="247"/>
      <c r="H14" s="247"/>
      <c r="I14" s="285"/>
      <c r="L14" s="250"/>
      <c r="M14" s="250"/>
      <c r="N14" s="250"/>
      <c r="O14" s="250"/>
      <c r="P14" s="250"/>
      <c r="Q14" s="250"/>
      <c r="R14" s="250"/>
      <c r="S14" s="251"/>
      <c r="T14" s="251"/>
      <c r="U14" s="251"/>
      <c r="V14" s="252"/>
    </row>
    <row r="15" spans="1:22" ht="10.5" customHeight="1" thickBot="1" x14ac:dyDescent="0.4">
      <c r="A15" s="246" t="s">
        <v>330</v>
      </c>
      <c r="B15" s="247" t="s">
        <v>377</v>
      </c>
      <c r="C15" s="465" t="s">
        <v>376</v>
      </c>
      <c r="D15" s="247"/>
      <c r="E15" s="247"/>
      <c r="F15" s="295"/>
      <c r="G15" s="247"/>
      <c r="H15" s="247"/>
      <c r="I15" s="285"/>
      <c r="L15" s="250"/>
      <c r="M15" s="250"/>
      <c r="N15" s="250"/>
      <c r="O15" s="250"/>
      <c r="P15" s="250"/>
      <c r="Q15" s="250"/>
      <c r="R15" s="250"/>
      <c r="S15" s="251"/>
      <c r="T15" s="251"/>
      <c r="U15" s="251"/>
      <c r="V15" s="252"/>
    </row>
    <row r="16" spans="1:22" ht="16.5" thickBot="1" x14ac:dyDescent="0.3">
      <c r="A16" s="529" t="s">
        <v>55</v>
      </c>
      <c r="B16" s="480"/>
      <c r="C16" s="530"/>
      <c r="D16" s="522"/>
      <c r="E16" s="522"/>
      <c r="F16" s="522">
        <v>2022</v>
      </c>
      <c r="G16" s="475"/>
      <c r="I16" s="506" t="s">
        <v>382</v>
      </c>
      <c r="L16" s="250"/>
      <c r="M16" s="250"/>
      <c r="N16" s="250"/>
      <c r="O16" s="250" t="s">
        <v>261</v>
      </c>
      <c r="P16" s="250"/>
      <c r="Q16" s="250"/>
      <c r="R16" s="250"/>
      <c r="S16" s="251">
        <v>9705</v>
      </c>
      <c r="T16" s="251">
        <v>64459</v>
      </c>
      <c r="U16" s="251">
        <v>-54754</v>
      </c>
      <c r="V16" s="252">
        <v>0.15056</v>
      </c>
    </row>
    <row r="17" spans="1:22" x14ac:dyDescent="0.2">
      <c r="A17" s="263"/>
      <c r="D17" s="110"/>
      <c r="F17" s="539" t="s">
        <v>425</v>
      </c>
      <c r="G17" s="110"/>
      <c r="H17" s="2" t="s">
        <v>376</v>
      </c>
      <c r="I17" s="506"/>
      <c r="L17" s="250"/>
      <c r="M17" s="250"/>
      <c r="N17" s="250"/>
      <c r="O17" s="250"/>
      <c r="P17" s="250"/>
      <c r="Q17" s="250" t="s">
        <v>310</v>
      </c>
      <c r="R17" s="250"/>
      <c r="S17" s="251">
        <v>6</v>
      </c>
      <c r="T17" s="251">
        <v>3000</v>
      </c>
      <c r="U17" s="251">
        <v>-2994</v>
      </c>
      <c r="V17" s="252">
        <v>2E-3</v>
      </c>
    </row>
    <row r="18" spans="1:22" x14ac:dyDescent="0.2">
      <c r="A18" s="432" t="s">
        <v>424</v>
      </c>
      <c r="B18" s="507">
        <v>906000</v>
      </c>
      <c r="C18" s="465">
        <v>0.75</v>
      </c>
      <c r="D18" s="462"/>
      <c r="E18" s="462"/>
      <c r="F18" s="450">
        <f t="shared" ref="F18:F32" si="0">C18*B18</f>
        <v>679500</v>
      </c>
      <c r="H18" s="508">
        <v>1</v>
      </c>
      <c r="I18" s="509">
        <f t="shared" ref="I18:I32" si="1">H18*F18</f>
        <v>679500</v>
      </c>
      <c r="L18" s="250" t="s">
        <v>203</v>
      </c>
      <c r="M18" s="250"/>
      <c r="N18" s="250"/>
      <c r="O18" s="250"/>
      <c r="P18" s="250"/>
      <c r="Q18" s="250"/>
      <c r="R18" s="250"/>
      <c r="S18" s="251"/>
      <c r="T18" s="251"/>
      <c r="U18" s="251"/>
      <c r="V18" s="252"/>
    </row>
    <row r="19" spans="1:22" x14ac:dyDescent="0.2">
      <c r="A19" s="432" t="s">
        <v>360</v>
      </c>
      <c r="B19" s="507">
        <v>50000</v>
      </c>
      <c r="C19" s="465">
        <v>1</v>
      </c>
      <c r="D19" s="462"/>
      <c r="E19" s="462"/>
      <c r="F19" s="450">
        <f t="shared" si="0"/>
        <v>50000</v>
      </c>
      <c r="H19" s="508">
        <v>1</v>
      </c>
      <c r="I19" s="509">
        <f t="shared" si="1"/>
        <v>50000</v>
      </c>
      <c r="L19" s="250"/>
      <c r="M19" s="250" t="s">
        <v>61</v>
      </c>
      <c r="N19" s="250"/>
      <c r="O19" s="250"/>
      <c r="P19" s="250"/>
      <c r="Q19" s="250"/>
      <c r="R19" s="250"/>
      <c r="S19" s="251"/>
      <c r="T19" s="251"/>
      <c r="U19" s="251"/>
      <c r="V19" s="252"/>
    </row>
    <row r="20" spans="1:22" x14ac:dyDescent="0.2">
      <c r="A20" s="432" t="s">
        <v>361</v>
      </c>
      <c r="B20" s="507">
        <v>7500</v>
      </c>
      <c r="C20" s="465">
        <v>1</v>
      </c>
      <c r="D20" s="462"/>
      <c r="E20" s="462"/>
      <c r="F20" s="450">
        <f t="shared" si="0"/>
        <v>7500</v>
      </c>
      <c r="H20" s="508">
        <v>1</v>
      </c>
      <c r="I20" s="509">
        <f t="shared" si="1"/>
        <v>7500</v>
      </c>
      <c r="L20" s="250"/>
      <c r="M20" s="250"/>
      <c r="N20" s="250" t="s">
        <v>57</v>
      </c>
      <c r="O20" s="250"/>
      <c r="P20" s="250"/>
      <c r="Q20" s="250"/>
      <c r="R20" s="250"/>
      <c r="S20" s="251"/>
      <c r="T20" s="251"/>
      <c r="U20" s="251"/>
      <c r="V20" s="252"/>
    </row>
    <row r="21" spans="1:22" x14ac:dyDescent="0.2">
      <c r="A21" s="432" t="s">
        <v>431</v>
      </c>
      <c r="B21" s="507">
        <v>100000</v>
      </c>
      <c r="C21" s="465">
        <v>1</v>
      </c>
      <c r="D21" s="462"/>
      <c r="E21" s="462"/>
      <c r="F21" s="450">
        <f t="shared" si="0"/>
        <v>100000</v>
      </c>
      <c r="H21" s="508">
        <v>1</v>
      </c>
      <c r="I21" s="509">
        <f t="shared" si="1"/>
        <v>100000</v>
      </c>
      <c r="L21" s="250"/>
      <c r="M21" s="250"/>
      <c r="N21" s="250"/>
      <c r="O21" s="250" t="s">
        <v>311</v>
      </c>
      <c r="P21" s="250"/>
      <c r="Q21" s="250"/>
      <c r="R21" s="250"/>
      <c r="S21" s="251"/>
      <c r="T21" s="251"/>
      <c r="U21" s="251"/>
      <c r="V21" s="252"/>
    </row>
    <row r="22" spans="1:22" x14ac:dyDescent="0.2">
      <c r="A22" s="432" t="s">
        <v>362</v>
      </c>
      <c r="B22" s="507">
        <v>450450</v>
      </c>
      <c r="C22" s="465">
        <v>0.5</v>
      </c>
      <c r="D22" s="462"/>
      <c r="E22" s="462"/>
      <c r="F22" s="450">
        <v>225300</v>
      </c>
      <c r="H22" s="508">
        <v>1</v>
      </c>
      <c r="I22" s="509">
        <f t="shared" si="1"/>
        <v>225300</v>
      </c>
      <c r="L22" s="250"/>
      <c r="M22" s="250"/>
      <c r="N22" s="250"/>
      <c r="O22" s="250"/>
      <c r="P22" s="250" t="s">
        <v>312</v>
      </c>
      <c r="Q22" s="250"/>
      <c r="R22" s="250"/>
      <c r="S22" s="251">
        <v>119</v>
      </c>
      <c r="T22" s="251">
        <v>26</v>
      </c>
      <c r="U22" s="251">
        <v>93</v>
      </c>
      <c r="V22" s="252">
        <v>4.5769200000000003</v>
      </c>
    </row>
    <row r="23" spans="1:22" x14ac:dyDescent="0.2">
      <c r="A23" s="432" t="s">
        <v>363</v>
      </c>
      <c r="B23" s="507">
        <v>2500</v>
      </c>
      <c r="C23" s="465">
        <v>1</v>
      </c>
      <c r="D23" s="462"/>
      <c r="E23" s="462"/>
      <c r="F23" s="450">
        <f t="shared" si="0"/>
        <v>2500</v>
      </c>
      <c r="H23" s="508">
        <v>1</v>
      </c>
      <c r="I23" s="509">
        <f t="shared" si="1"/>
        <v>2500</v>
      </c>
      <c r="L23" s="250"/>
      <c r="M23" s="250"/>
      <c r="N23" s="250"/>
      <c r="O23" s="250"/>
      <c r="P23" s="250" t="s">
        <v>313</v>
      </c>
      <c r="Q23" s="250"/>
      <c r="R23" s="250"/>
      <c r="S23" s="251">
        <v>0</v>
      </c>
      <c r="T23" s="251">
        <v>24</v>
      </c>
      <c r="U23" s="251">
        <v>-24</v>
      </c>
      <c r="V23" s="252">
        <v>0</v>
      </c>
    </row>
    <row r="24" spans="1:22" ht="13.5" thickBot="1" x14ac:dyDescent="0.25">
      <c r="A24" s="432" t="s">
        <v>364</v>
      </c>
      <c r="B24" s="507">
        <v>124795</v>
      </c>
      <c r="C24" s="465">
        <v>1</v>
      </c>
      <c r="D24" s="462"/>
      <c r="E24" s="462"/>
      <c r="F24" s="450">
        <v>124800</v>
      </c>
      <c r="H24" s="508">
        <v>1</v>
      </c>
      <c r="I24" s="509">
        <f t="shared" si="1"/>
        <v>124800</v>
      </c>
      <c r="L24" s="250"/>
      <c r="M24" s="250"/>
      <c r="N24" s="250"/>
      <c r="O24" s="250"/>
      <c r="P24" s="250" t="s">
        <v>314</v>
      </c>
      <c r="Q24" s="250"/>
      <c r="R24" s="250"/>
      <c r="S24" s="253">
        <v>20</v>
      </c>
      <c r="T24" s="253">
        <v>0</v>
      </c>
      <c r="U24" s="253">
        <v>20</v>
      </c>
      <c r="V24" s="254">
        <v>1</v>
      </c>
    </row>
    <row r="25" spans="1:22" x14ac:dyDescent="0.2">
      <c r="A25" s="432" t="s">
        <v>365</v>
      </c>
      <c r="B25" s="507">
        <v>750750</v>
      </c>
      <c r="C25" s="465">
        <v>1</v>
      </c>
      <c r="D25" s="462"/>
      <c r="E25" s="462"/>
      <c r="F25" s="450">
        <v>750800</v>
      </c>
      <c r="H25" s="508">
        <v>1</v>
      </c>
      <c r="I25" s="509">
        <f t="shared" si="1"/>
        <v>750800</v>
      </c>
      <c r="L25" s="250"/>
      <c r="M25" s="250"/>
      <c r="N25" s="250"/>
      <c r="O25" s="250" t="s">
        <v>315</v>
      </c>
      <c r="P25" s="250"/>
      <c r="Q25" s="250"/>
      <c r="R25" s="250"/>
      <c r="S25" s="251">
        <v>139</v>
      </c>
      <c r="T25" s="251">
        <v>50</v>
      </c>
      <c r="U25" s="251">
        <v>89</v>
      </c>
      <c r="V25" s="252">
        <v>2.78</v>
      </c>
    </row>
    <row r="26" spans="1:22" ht="13.5" thickBot="1" x14ac:dyDescent="0.25">
      <c r="A26" s="432" t="s">
        <v>366</v>
      </c>
      <c r="B26" s="507">
        <v>8694000</v>
      </c>
      <c r="C26" s="465">
        <v>0.3</v>
      </c>
      <c r="D26" s="462"/>
      <c r="E26" s="462"/>
      <c r="F26" s="450">
        <f t="shared" si="0"/>
        <v>2608200</v>
      </c>
      <c r="H26" s="508">
        <v>1</v>
      </c>
      <c r="I26" s="509">
        <f t="shared" si="1"/>
        <v>2608200</v>
      </c>
      <c r="L26" s="250"/>
      <c r="M26" s="250"/>
      <c r="N26" s="250"/>
      <c r="O26" s="250" t="s">
        <v>316</v>
      </c>
      <c r="P26" s="250"/>
      <c r="Q26" s="250"/>
      <c r="R26" s="250"/>
      <c r="S26" s="251">
        <v>135231</v>
      </c>
      <c r="T26" s="251">
        <v>293200</v>
      </c>
      <c r="U26" s="251">
        <v>-157969</v>
      </c>
      <c r="V26" s="252">
        <v>0.46122000000000002</v>
      </c>
    </row>
    <row r="27" spans="1:22" ht="13.5" thickBot="1" x14ac:dyDescent="0.25">
      <c r="A27" s="432" t="s">
        <v>367</v>
      </c>
      <c r="B27" s="507">
        <v>936000</v>
      </c>
      <c r="C27" s="465">
        <v>0.3</v>
      </c>
      <c r="D27" s="462"/>
      <c r="E27" s="462"/>
      <c r="F27" s="450">
        <f t="shared" si="0"/>
        <v>280800</v>
      </c>
      <c r="H27" s="508">
        <v>1</v>
      </c>
      <c r="I27" s="509">
        <f t="shared" si="1"/>
        <v>280800</v>
      </c>
      <c r="L27" s="250"/>
      <c r="M27" s="250"/>
      <c r="N27" s="250" t="s">
        <v>317</v>
      </c>
      <c r="O27" s="250"/>
      <c r="P27" s="250"/>
      <c r="Q27" s="250"/>
      <c r="R27" s="250"/>
      <c r="S27" s="257">
        <v>135370</v>
      </c>
      <c r="T27" s="257">
        <v>293250</v>
      </c>
      <c r="U27" s="257">
        <v>-157880</v>
      </c>
      <c r="V27" s="258">
        <v>0.46161999999999997</v>
      </c>
    </row>
    <row r="28" spans="1:22" x14ac:dyDescent="0.2">
      <c r="A28" s="432" t="s">
        <v>368</v>
      </c>
      <c r="B28" s="507">
        <v>1501500</v>
      </c>
      <c r="C28" s="465">
        <v>0.75</v>
      </c>
      <c r="D28" s="462"/>
      <c r="E28" s="462"/>
      <c r="F28" s="450">
        <v>1126400</v>
      </c>
      <c r="H28" s="508">
        <v>1</v>
      </c>
      <c r="I28" s="509">
        <f t="shared" si="1"/>
        <v>1126400</v>
      </c>
      <c r="L28" s="250"/>
      <c r="M28" s="250" t="s">
        <v>210</v>
      </c>
      <c r="N28" s="250"/>
      <c r="O28" s="250"/>
      <c r="P28" s="250"/>
      <c r="Q28" s="250"/>
      <c r="R28" s="250"/>
      <c r="S28" s="251">
        <v>135370</v>
      </c>
      <c r="T28" s="251">
        <v>293250</v>
      </c>
      <c r="U28" s="251">
        <v>-157880</v>
      </c>
      <c r="V28" s="252">
        <v>0.46161999999999997</v>
      </c>
    </row>
    <row r="29" spans="1:22" x14ac:dyDescent="0.2">
      <c r="A29" s="432" t="s">
        <v>370</v>
      </c>
      <c r="B29" s="507">
        <v>105085</v>
      </c>
      <c r="C29" s="465">
        <v>0.1</v>
      </c>
      <c r="D29" s="462"/>
      <c r="E29" s="462"/>
      <c r="F29" s="450">
        <v>11000</v>
      </c>
      <c r="H29" s="508">
        <v>0.3</v>
      </c>
      <c r="I29" s="509">
        <f t="shared" si="1"/>
        <v>3300</v>
      </c>
      <c r="L29" s="250"/>
      <c r="M29" s="250"/>
      <c r="N29" s="250"/>
      <c r="O29" s="250" t="s">
        <v>320</v>
      </c>
      <c r="P29" s="250"/>
      <c r="Q29" s="250"/>
      <c r="R29" s="250"/>
      <c r="S29" s="251">
        <v>62230</v>
      </c>
      <c r="T29" s="251">
        <v>500000</v>
      </c>
      <c r="U29" s="251">
        <v>-437770</v>
      </c>
      <c r="V29" s="252">
        <v>0.12446</v>
      </c>
    </row>
    <row r="30" spans="1:22" ht="15.75" thickBot="1" x14ac:dyDescent="0.3">
      <c r="A30" s="432" t="s">
        <v>371</v>
      </c>
      <c r="B30" s="507">
        <v>0</v>
      </c>
      <c r="C30" s="465">
        <v>0</v>
      </c>
      <c r="D30" s="462"/>
      <c r="E30" s="462"/>
      <c r="F30" s="558">
        <f t="shared" si="0"/>
        <v>0</v>
      </c>
      <c r="H30" s="508">
        <v>0</v>
      </c>
      <c r="I30" s="509">
        <f t="shared" si="1"/>
        <v>0</v>
      </c>
      <c r="L30" s="250"/>
      <c r="M30" s="250"/>
      <c r="N30" s="250"/>
      <c r="O30" s="250" t="s">
        <v>321</v>
      </c>
      <c r="P30" s="250"/>
      <c r="Q30" s="250"/>
      <c r="R30" s="250"/>
      <c r="S30" s="249">
        <v>0</v>
      </c>
      <c r="T30" s="251">
        <v>34560</v>
      </c>
      <c r="U30" s="251">
        <v>-34560</v>
      </c>
      <c r="V30" s="252">
        <v>0</v>
      </c>
    </row>
    <row r="31" spans="1:22" ht="13.5" thickBot="1" x14ac:dyDescent="0.25">
      <c r="A31" s="432" t="s">
        <v>379</v>
      </c>
      <c r="B31" s="507">
        <v>614730</v>
      </c>
      <c r="C31" s="465">
        <v>0.8</v>
      </c>
      <c r="D31" s="462"/>
      <c r="E31" s="462"/>
      <c r="F31" s="120">
        <v>491800</v>
      </c>
      <c r="H31" s="508">
        <v>0.3</v>
      </c>
      <c r="I31" s="509">
        <f t="shared" si="1"/>
        <v>147540</v>
      </c>
      <c r="L31" s="250" t="s">
        <v>218</v>
      </c>
      <c r="M31" s="250"/>
      <c r="N31" s="250"/>
      <c r="O31" s="250"/>
      <c r="P31" s="250"/>
      <c r="Q31" s="250"/>
      <c r="R31" s="250"/>
      <c r="S31" s="255">
        <v>-61156</v>
      </c>
      <c r="T31" s="255">
        <v>-491310</v>
      </c>
      <c r="U31" s="255">
        <v>430154</v>
      </c>
      <c r="V31" s="256">
        <v>0.12447999999999999</v>
      </c>
    </row>
    <row r="32" spans="1:22" ht="13.5" thickBot="1" x14ac:dyDescent="0.25">
      <c r="A32" s="432" t="s">
        <v>373</v>
      </c>
      <c r="B32" s="510">
        <v>750000</v>
      </c>
      <c r="C32" s="465">
        <v>0.8</v>
      </c>
      <c r="D32" s="462"/>
      <c r="E32" s="462"/>
      <c r="F32" s="450">
        <f t="shared" si="0"/>
        <v>600000</v>
      </c>
      <c r="H32" s="508">
        <v>0</v>
      </c>
      <c r="I32" s="509">
        <f t="shared" si="1"/>
        <v>0</v>
      </c>
      <c r="L32" s="250"/>
      <c r="M32" s="250"/>
      <c r="N32" s="250"/>
      <c r="O32" s="250"/>
      <c r="P32" s="250"/>
      <c r="Q32" s="250"/>
      <c r="R32" s="250"/>
      <c r="S32" s="259">
        <v>303616</v>
      </c>
      <c r="T32" s="259">
        <v>-288158</v>
      </c>
      <c r="U32" s="259">
        <v>591774</v>
      </c>
      <c r="V32" s="260">
        <v>-1.0536399999999999</v>
      </c>
    </row>
    <row r="33" spans="1:22" ht="6" customHeight="1" thickTop="1" thickBot="1" x14ac:dyDescent="0.25">
      <c r="A33" s="511"/>
      <c r="B33" s="510"/>
      <c r="C33" s="465"/>
      <c r="D33" s="510"/>
      <c r="E33" s="512"/>
      <c r="F33" s="509"/>
      <c r="H33" s="508"/>
      <c r="I33" s="509"/>
      <c r="L33" s="250"/>
      <c r="M33" s="250"/>
      <c r="N33" s="250"/>
      <c r="O33" s="250"/>
      <c r="P33" s="250"/>
      <c r="Q33" s="250"/>
      <c r="R33" s="250"/>
      <c r="S33" s="297"/>
      <c r="T33" s="297"/>
      <c r="U33" s="297"/>
      <c r="V33" s="298"/>
    </row>
    <row r="34" spans="1:22" s="104" customFormat="1" ht="16.5" thickBot="1" x14ac:dyDescent="0.3">
      <c r="A34" s="324" t="s">
        <v>14</v>
      </c>
      <c r="B34" s="487">
        <v>610701</v>
      </c>
      <c r="C34" s="488">
        <v>0.9</v>
      </c>
      <c r="D34" s="496"/>
      <c r="E34" s="496"/>
      <c r="F34" s="496">
        <f>SUM(F17:F32)</f>
        <v>7058600</v>
      </c>
      <c r="G34" s="487">
        <f>F34-E34</f>
        <v>7058600</v>
      </c>
      <c r="H34" s="497" t="e">
        <f>G34/E34</f>
        <v>#DIV/0!</v>
      </c>
      <c r="I34" s="303"/>
      <c r="L34" s="304"/>
      <c r="M34" s="304"/>
      <c r="N34" s="304"/>
      <c r="O34" s="304"/>
      <c r="P34" s="304"/>
      <c r="Q34" s="305" t="s">
        <v>297</v>
      </c>
      <c r="R34" s="305"/>
      <c r="S34" s="306">
        <v>1375</v>
      </c>
      <c r="T34" s="306">
        <v>8760</v>
      </c>
      <c r="U34" s="306">
        <v>-7385</v>
      </c>
      <c r="V34" s="307">
        <v>0.15695999999999999</v>
      </c>
    </row>
    <row r="35" spans="1:22" s="104" customFormat="1" ht="16.5" thickBot="1" x14ac:dyDescent="0.3">
      <c r="A35" s="498" t="s">
        <v>64</v>
      </c>
      <c r="B35" s="448">
        <v>628405</v>
      </c>
      <c r="C35" s="502">
        <v>0.71</v>
      </c>
      <c r="D35" s="466"/>
      <c r="E35" s="466"/>
      <c r="F35" s="467">
        <f>F13</f>
        <v>7058600</v>
      </c>
      <c r="G35" s="501">
        <f>F35-E35</f>
        <v>7058600</v>
      </c>
      <c r="H35" s="500" t="e">
        <f>G35/E35</f>
        <v>#DIV/0!</v>
      </c>
      <c r="I35" s="342"/>
      <c r="L35" s="304"/>
      <c r="M35" s="304"/>
      <c r="N35" s="304"/>
      <c r="O35" s="304"/>
      <c r="P35" s="304" t="s">
        <v>298</v>
      </c>
      <c r="Q35" s="305"/>
      <c r="R35" s="305"/>
      <c r="S35" s="310">
        <v>46932</v>
      </c>
      <c r="T35" s="310">
        <v>204000</v>
      </c>
      <c r="U35" s="310">
        <v>-157068</v>
      </c>
      <c r="V35" s="311">
        <v>0.23005999999999999</v>
      </c>
    </row>
    <row r="36" spans="1:22" ht="16.5" thickBot="1" x14ac:dyDescent="0.3">
      <c r="A36" s="334" t="s">
        <v>59</v>
      </c>
      <c r="B36" s="501">
        <v>17704</v>
      </c>
      <c r="C36" s="502">
        <v>0.09</v>
      </c>
      <c r="D36" s="503"/>
      <c r="E36" s="503"/>
      <c r="F36" s="520">
        <f>F34-F35</f>
        <v>0</v>
      </c>
    </row>
    <row r="38" spans="1:22" x14ac:dyDescent="0.2">
      <c r="F38" s="539" t="s">
        <v>425</v>
      </c>
    </row>
  </sheetData>
  <pageMargins left="0.4" right="0.2" top="0.6" bottom="0.5" header="0.3" footer="0.3"/>
  <pageSetup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01"/>
  <sheetViews>
    <sheetView showGridLines="0" tabSelected="1" topLeftCell="A81" zoomScale="150" zoomScaleNormal="150" workbookViewId="0">
      <selection activeCell="A68" sqref="A68:G101"/>
    </sheetView>
  </sheetViews>
  <sheetFormatPr defaultRowHeight="12.75" x14ac:dyDescent="0.2"/>
  <cols>
    <col min="1" max="1" width="55" customWidth="1"/>
    <col min="2" max="3" width="15.28515625" hidden="1" customWidth="1"/>
    <col min="4" max="4" width="18" hidden="1" customWidth="1"/>
    <col min="5" max="6" width="16.140625" customWidth="1"/>
    <col min="7" max="7" width="16.85546875" customWidth="1"/>
    <col min="8" max="8" width="16.28515625" hidden="1" customWidth="1"/>
    <col min="9" max="9" width="14" hidden="1" customWidth="1"/>
    <col min="10" max="10" width="27.140625" style="287" hidden="1" customWidth="1"/>
    <col min="11" max="11" width="3" customWidth="1"/>
    <col min="12" max="12" width="10.85546875" bestFit="1" customWidth="1"/>
    <col min="13" max="23" width="0" hidden="1" customWidth="1"/>
    <col min="24" max="24" width="14.28515625" style="120" bestFit="1" customWidth="1"/>
    <col min="25" max="25" width="11.85546875" bestFit="1" customWidth="1"/>
  </cols>
  <sheetData>
    <row r="1" spans="1:31" ht="18" x14ac:dyDescent="0.25">
      <c r="A1" s="715" t="s">
        <v>32</v>
      </c>
      <c r="B1" s="716"/>
      <c r="C1" s="716"/>
      <c r="D1" s="716"/>
      <c r="E1" s="716"/>
      <c r="F1" s="716"/>
      <c r="G1" s="716"/>
      <c r="H1" s="716"/>
      <c r="I1" s="716"/>
      <c r="J1" s="717"/>
      <c r="K1" s="599"/>
    </row>
    <row r="2" spans="1:31" ht="24" thickBot="1" x14ac:dyDescent="0.4">
      <c r="A2" s="718" t="s">
        <v>444</v>
      </c>
      <c r="B2" s="719"/>
      <c r="C2" s="719"/>
      <c r="D2" s="719"/>
      <c r="E2" s="719"/>
      <c r="F2" s="719"/>
      <c r="G2" s="719"/>
      <c r="H2" s="719"/>
      <c r="I2" s="719"/>
      <c r="J2" s="720"/>
      <c r="K2" s="219"/>
    </row>
    <row r="3" spans="1:31" ht="21.75" thickTop="1" thickBot="1" x14ac:dyDescent="0.35">
      <c r="A3" s="721" t="s">
        <v>514</v>
      </c>
      <c r="B3" s="722"/>
      <c r="C3" s="722"/>
      <c r="D3" s="722"/>
      <c r="E3" s="722"/>
      <c r="F3" s="722"/>
      <c r="G3" s="723"/>
      <c r="H3" s="723"/>
      <c r="I3" s="723"/>
      <c r="J3" s="724"/>
      <c r="K3" s="219"/>
      <c r="M3" s="261"/>
      <c r="N3" s="261"/>
      <c r="O3" s="261"/>
      <c r="P3" s="261"/>
      <c r="Q3" s="261"/>
      <c r="R3" s="261"/>
      <c r="S3" s="261"/>
      <c r="T3" s="262" t="s">
        <v>248</v>
      </c>
      <c r="U3" s="262" t="s">
        <v>12</v>
      </c>
      <c r="V3" s="262" t="s">
        <v>95</v>
      </c>
      <c r="W3" s="262" t="s">
        <v>69</v>
      </c>
    </row>
    <row r="4" spans="1:31" ht="15.75" thickTop="1" x14ac:dyDescent="0.25">
      <c r="A4" s="725"/>
      <c r="B4" s="726"/>
      <c r="C4" s="726"/>
      <c r="D4" s="726"/>
      <c r="E4" s="726"/>
      <c r="F4" s="726"/>
      <c r="G4" s="727"/>
      <c r="H4" s="727"/>
      <c r="I4" s="727"/>
      <c r="J4" s="728"/>
      <c r="K4" s="219"/>
      <c r="M4" s="250" t="s">
        <v>96</v>
      </c>
      <c r="N4" s="250"/>
      <c r="O4" s="250"/>
      <c r="P4" s="250"/>
      <c r="Q4" s="250"/>
      <c r="R4" s="250"/>
      <c r="S4" s="250"/>
      <c r="T4" s="251"/>
      <c r="U4" s="251"/>
      <c r="V4" s="251"/>
      <c r="W4" s="252"/>
    </row>
    <row r="5" spans="1:31" ht="15.75" x14ac:dyDescent="0.25">
      <c r="A5" s="263" t="s">
        <v>330</v>
      </c>
      <c r="B5" s="137" t="s">
        <v>324</v>
      </c>
      <c r="C5">
        <v>1.25</v>
      </c>
      <c r="E5" s="248"/>
      <c r="F5" s="248"/>
      <c r="G5" s="248"/>
      <c r="H5" s="23"/>
      <c r="I5" s="8"/>
      <c r="J5" s="282"/>
      <c r="K5" s="219"/>
      <c r="M5" s="250"/>
      <c r="N5" s="250"/>
      <c r="O5" s="250" t="s">
        <v>74</v>
      </c>
      <c r="P5" s="250"/>
      <c r="Q5" s="250"/>
      <c r="R5" s="250"/>
      <c r="S5" s="250"/>
      <c r="T5" s="251"/>
      <c r="U5" s="251"/>
      <c r="V5" s="251"/>
      <c r="W5" s="252"/>
    </row>
    <row r="6" spans="1:31" ht="31.5" customHeight="1" thickBot="1" x14ac:dyDescent="0.25">
      <c r="A6" s="194"/>
      <c r="B6" s="593" t="s">
        <v>323</v>
      </c>
      <c r="C6" s="594" t="s">
        <v>325</v>
      </c>
      <c r="D6" s="595" t="s">
        <v>77</v>
      </c>
      <c r="E6" s="595" t="s">
        <v>421</v>
      </c>
      <c r="F6" s="595" t="s">
        <v>455</v>
      </c>
      <c r="G6" s="595" t="s">
        <v>422</v>
      </c>
      <c r="H6" s="596" t="s">
        <v>0</v>
      </c>
      <c r="I6" s="597" t="s">
        <v>9</v>
      </c>
      <c r="J6" s="598"/>
      <c r="K6" s="194"/>
      <c r="M6" s="250"/>
      <c r="N6" s="250"/>
      <c r="O6" s="250"/>
      <c r="P6" s="250" t="s">
        <v>249</v>
      </c>
      <c r="Q6" s="250"/>
      <c r="R6" s="250"/>
      <c r="S6" s="250"/>
      <c r="T6" s="251">
        <v>529980</v>
      </c>
      <c r="U6" s="251">
        <v>734928</v>
      </c>
      <c r="V6" s="251">
        <v>-204948</v>
      </c>
      <c r="W6" s="252">
        <v>0.72113000000000005</v>
      </c>
    </row>
    <row r="7" spans="1:31" ht="15.75" x14ac:dyDescent="0.25">
      <c r="A7" s="589" t="s">
        <v>26</v>
      </c>
      <c r="B7" s="95"/>
      <c r="C7" s="95"/>
      <c r="D7" s="590" t="s">
        <v>93</v>
      </c>
      <c r="E7" s="590" t="s">
        <v>457</v>
      </c>
      <c r="F7" s="590" t="s">
        <v>457</v>
      </c>
      <c r="G7" s="590" t="s">
        <v>457</v>
      </c>
      <c r="H7" s="591"/>
      <c r="I7" s="592"/>
      <c r="J7" s="285" t="s">
        <v>329</v>
      </c>
      <c r="M7" s="250"/>
      <c r="N7" s="250"/>
      <c r="O7" s="250"/>
      <c r="P7" s="250" t="s">
        <v>250</v>
      </c>
      <c r="Q7" s="250"/>
      <c r="R7" s="250"/>
      <c r="S7" s="250"/>
      <c r="T7" s="251">
        <v>678</v>
      </c>
      <c r="U7" s="251">
        <v>3500</v>
      </c>
      <c r="V7" s="251">
        <v>-2822</v>
      </c>
      <c r="W7" s="252">
        <v>0.19370999999999999</v>
      </c>
    </row>
    <row r="8" spans="1:31" s="2" customFormat="1" x14ac:dyDescent="0.2">
      <c r="A8" s="608" t="s">
        <v>17</v>
      </c>
      <c r="B8" s="314">
        <v>529980</v>
      </c>
      <c r="C8" s="313">
        <v>0.72</v>
      </c>
      <c r="D8" s="419">
        <v>704873.4</v>
      </c>
      <c r="E8" s="689">
        <f>(1275*50*12)+(25*150*6)</f>
        <v>787500</v>
      </c>
      <c r="F8" s="573">
        <f>ROUND(Y8,-3)+200</f>
        <v>92200</v>
      </c>
      <c r="G8" s="573">
        <f t="shared" ref="G8:G15" si="0">+E8+F8</f>
        <v>879700</v>
      </c>
      <c r="H8" s="314">
        <v>-34928</v>
      </c>
      <c r="I8" s="315">
        <v>-4.7525744018461671E-2</v>
      </c>
      <c r="J8" s="285" t="s">
        <v>393</v>
      </c>
      <c r="M8" s="316"/>
      <c r="N8" s="316"/>
      <c r="O8" s="316"/>
      <c r="P8" s="316" t="s">
        <v>251</v>
      </c>
      <c r="Q8" s="316"/>
      <c r="R8" s="316"/>
      <c r="S8" s="316"/>
      <c r="T8" s="317"/>
      <c r="U8" s="317"/>
      <c r="V8" s="317"/>
      <c r="W8" s="318"/>
      <c r="X8" s="614">
        <f>+'2025 General'!C8</f>
        <v>879663.86</v>
      </c>
      <c r="Y8" s="149">
        <f>+X8-E8</f>
        <v>92163.859999999986</v>
      </c>
      <c r="AE8" s="660"/>
    </row>
    <row r="9" spans="1:31" s="2" customFormat="1" x14ac:dyDescent="0.2">
      <c r="A9" s="432" t="s">
        <v>16</v>
      </c>
      <c r="B9" s="314">
        <v>678</v>
      </c>
      <c r="C9" s="313">
        <v>0.19</v>
      </c>
      <c r="D9" s="419">
        <v>3000</v>
      </c>
      <c r="E9" s="689">
        <v>1500</v>
      </c>
      <c r="F9" s="573">
        <v>1500</v>
      </c>
      <c r="G9" s="573">
        <f t="shared" si="0"/>
        <v>3000</v>
      </c>
      <c r="H9" s="314">
        <v>0</v>
      </c>
      <c r="I9" s="315">
        <v>0</v>
      </c>
      <c r="J9" s="285"/>
      <c r="M9" s="316"/>
      <c r="N9" s="316"/>
      <c r="O9" s="316"/>
      <c r="P9" s="316"/>
      <c r="Q9" s="316" t="s">
        <v>252</v>
      </c>
      <c r="R9" s="316"/>
      <c r="S9" s="316"/>
      <c r="T9" s="317">
        <v>32350</v>
      </c>
      <c r="U9" s="317">
        <v>0</v>
      </c>
      <c r="V9" s="317">
        <v>32350</v>
      </c>
      <c r="W9" s="318">
        <v>1</v>
      </c>
      <c r="X9" s="614">
        <f>+'2025 General'!C9</f>
        <v>2887.51</v>
      </c>
      <c r="Y9" s="149">
        <f t="shared" ref="Y9:Y16" si="1">+X9-E9</f>
        <v>1387.5100000000002</v>
      </c>
    </row>
    <row r="10" spans="1:31" s="2" customFormat="1" x14ac:dyDescent="0.2">
      <c r="A10" s="432" t="s">
        <v>94</v>
      </c>
      <c r="B10" s="314">
        <v>78516</v>
      </c>
      <c r="C10" s="313">
        <v>3.14</v>
      </c>
      <c r="D10" s="419">
        <v>86367.6</v>
      </c>
      <c r="E10" s="689">
        <v>80000</v>
      </c>
      <c r="F10" s="573">
        <f>ROUND(Y10,-3)+300</f>
        <v>-28700</v>
      </c>
      <c r="G10" s="573">
        <f t="shared" si="0"/>
        <v>51300</v>
      </c>
      <c r="H10" s="314">
        <v>60000</v>
      </c>
      <c r="I10" s="315">
        <v>2.4</v>
      </c>
      <c r="J10" s="285"/>
      <c r="M10" s="316"/>
      <c r="N10" s="316"/>
      <c r="O10" s="316"/>
      <c r="P10" s="316"/>
      <c r="Q10" s="316" t="s">
        <v>253</v>
      </c>
      <c r="R10" s="316"/>
      <c r="S10" s="316"/>
      <c r="T10" s="317">
        <v>20666</v>
      </c>
      <c r="U10" s="317">
        <v>0</v>
      </c>
      <c r="V10" s="317">
        <v>20666</v>
      </c>
      <c r="W10" s="318">
        <v>1</v>
      </c>
      <c r="X10" s="614">
        <f>+'2025 General'!C10</f>
        <v>50990</v>
      </c>
      <c r="Y10" s="149">
        <f t="shared" si="1"/>
        <v>-29010</v>
      </c>
    </row>
    <row r="11" spans="1:31" s="2" customFormat="1" x14ac:dyDescent="0.2">
      <c r="A11" s="432" t="s">
        <v>15</v>
      </c>
      <c r="B11" s="314">
        <v>4747</v>
      </c>
      <c r="C11" s="313">
        <v>0.09</v>
      </c>
      <c r="D11" s="419">
        <v>55141.200000000004</v>
      </c>
      <c r="E11" s="689">
        <v>93000</v>
      </c>
      <c r="F11" s="573">
        <f>ROUND(Y11,-3)+200</f>
        <v>10200</v>
      </c>
      <c r="G11" s="573">
        <f t="shared" si="0"/>
        <v>103200</v>
      </c>
      <c r="H11" s="314">
        <v>58.799999999995634</v>
      </c>
      <c r="I11" s="315">
        <v>1.0663532893733837E-3</v>
      </c>
      <c r="J11" s="285"/>
      <c r="M11" s="316"/>
      <c r="N11" s="316"/>
      <c r="O11" s="316"/>
      <c r="P11" s="316"/>
      <c r="Q11" s="316" t="s">
        <v>254</v>
      </c>
      <c r="R11" s="316"/>
      <c r="S11" s="316"/>
      <c r="T11" s="317">
        <v>25400</v>
      </c>
      <c r="U11" s="317">
        <v>0</v>
      </c>
      <c r="V11" s="317">
        <v>25400</v>
      </c>
      <c r="W11" s="318">
        <v>1</v>
      </c>
      <c r="X11" s="614">
        <f>+'2025 General'!C11</f>
        <v>103337.4</v>
      </c>
      <c r="Y11" s="149">
        <f t="shared" si="1"/>
        <v>10337.399999999994</v>
      </c>
    </row>
    <row r="12" spans="1:31" s="2" customFormat="1" ht="13.5" thickBot="1" x14ac:dyDescent="0.25">
      <c r="A12" s="432" t="s">
        <v>19</v>
      </c>
      <c r="B12" s="314">
        <v>1560</v>
      </c>
      <c r="C12" s="313">
        <v>0.47</v>
      </c>
      <c r="D12" s="419">
        <v>3300</v>
      </c>
      <c r="E12" s="689">
        <v>15000</v>
      </c>
      <c r="F12" s="573">
        <f>ROUND(Y12,-3)+300</f>
        <v>6300</v>
      </c>
      <c r="G12" s="573">
        <f t="shared" si="0"/>
        <v>21300</v>
      </c>
      <c r="H12" s="314">
        <v>0</v>
      </c>
      <c r="I12" s="315">
        <v>0</v>
      </c>
      <c r="J12" s="285"/>
      <c r="M12" s="316"/>
      <c r="N12" s="316"/>
      <c r="O12" s="316"/>
      <c r="P12" s="316"/>
      <c r="Q12" s="316" t="s">
        <v>255</v>
      </c>
      <c r="R12" s="316"/>
      <c r="S12" s="316"/>
      <c r="T12" s="320">
        <v>100</v>
      </c>
      <c r="U12" s="320">
        <v>25000</v>
      </c>
      <c r="V12" s="320">
        <v>-24900</v>
      </c>
      <c r="W12" s="321">
        <v>4.0000000000000001E-3</v>
      </c>
      <c r="X12" s="614">
        <f>+'2025 General'!C12</f>
        <v>20618.060000000001</v>
      </c>
      <c r="Y12" s="149">
        <f t="shared" si="1"/>
        <v>5618.0600000000013</v>
      </c>
    </row>
    <row r="13" spans="1:31" s="2" customFormat="1" x14ac:dyDescent="0.2">
      <c r="A13" s="432" t="s">
        <v>21</v>
      </c>
      <c r="B13" s="314">
        <v>3398</v>
      </c>
      <c r="C13" s="313">
        <v>0.56000000000000005</v>
      </c>
      <c r="D13" s="419">
        <v>6000</v>
      </c>
      <c r="E13" s="689">
        <v>3000</v>
      </c>
      <c r="F13" s="573">
        <f>ROUND(Y13,-3)+300</f>
        <v>300</v>
      </c>
      <c r="G13" s="573">
        <f t="shared" si="0"/>
        <v>3300</v>
      </c>
      <c r="H13" s="314">
        <v>-18</v>
      </c>
      <c r="I13" s="315">
        <v>-2.9910269192422734E-3</v>
      </c>
      <c r="J13" s="285"/>
      <c r="M13" s="316"/>
      <c r="N13" s="316"/>
      <c r="O13" s="316"/>
      <c r="P13" s="316" t="s">
        <v>256</v>
      </c>
      <c r="Q13" s="316"/>
      <c r="R13" s="316"/>
      <c r="S13" s="316"/>
      <c r="T13" s="317">
        <v>78516</v>
      </c>
      <c r="U13" s="317">
        <v>25000</v>
      </c>
      <c r="V13" s="317">
        <v>53516</v>
      </c>
      <c r="W13" s="318">
        <v>3.1406399999999999</v>
      </c>
      <c r="X13" s="614">
        <f>+'2025 General'!C13</f>
        <v>2670.55</v>
      </c>
      <c r="Y13" s="149">
        <f t="shared" si="1"/>
        <v>-329.44999999999982</v>
      </c>
    </row>
    <row r="14" spans="1:31" s="2" customFormat="1" x14ac:dyDescent="0.2">
      <c r="A14" s="432" t="s">
        <v>72</v>
      </c>
      <c r="B14" s="314">
        <v>2366</v>
      </c>
      <c r="C14" s="313">
        <v>0.11</v>
      </c>
      <c r="D14" s="419">
        <v>225000</v>
      </c>
      <c r="E14" s="689"/>
      <c r="F14" s="573">
        <f>ROUND(Y14,-3)+100</f>
        <v>100</v>
      </c>
      <c r="G14" s="573">
        <f t="shared" si="0"/>
        <v>100</v>
      </c>
      <c r="H14" s="314">
        <v>94000</v>
      </c>
      <c r="I14" s="315">
        <v>4.4761904761904763</v>
      </c>
      <c r="J14" s="285" t="s">
        <v>387</v>
      </c>
      <c r="M14" s="316"/>
      <c r="N14" s="316"/>
      <c r="O14" s="316"/>
      <c r="P14" s="316"/>
      <c r="Q14" s="316"/>
      <c r="R14" s="316"/>
      <c r="S14" s="316"/>
      <c r="T14" s="317"/>
      <c r="U14" s="317"/>
      <c r="V14" s="317"/>
      <c r="W14" s="318"/>
      <c r="X14" s="614">
        <f>+'2025 General'!C14</f>
        <v>0</v>
      </c>
      <c r="Y14" s="149">
        <f t="shared" si="1"/>
        <v>0</v>
      </c>
    </row>
    <row r="15" spans="1:31" s="2" customFormat="1" x14ac:dyDescent="0.2">
      <c r="A15" s="609" t="s">
        <v>83</v>
      </c>
      <c r="B15" s="314">
        <v>7160</v>
      </c>
      <c r="C15" s="313">
        <v>0.2</v>
      </c>
      <c r="D15" s="419">
        <v>8950</v>
      </c>
      <c r="E15" s="689">
        <f>170000/2</f>
        <v>85000</v>
      </c>
      <c r="F15" s="573">
        <f>ROUND(Y15,-3)+500</f>
        <v>354500</v>
      </c>
      <c r="G15" s="573">
        <f t="shared" si="0"/>
        <v>439500</v>
      </c>
      <c r="H15" s="314">
        <v>-26100</v>
      </c>
      <c r="I15" s="315">
        <v>-0.74571428571428566</v>
      </c>
      <c r="J15" s="285"/>
      <c r="M15" s="316"/>
      <c r="N15" s="316"/>
      <c r="O15" s="316"/>
      <c r="P15" s="316"/>
      <c r="Q15" s="316" t="s">
        <v>258</v>
      </c>
      <c r="R15" s="316"/>
      <c r="S15" s="316"/>
      <c r="T15" s="317">
        <v>4747</v>
      </c>
      <c r="U15" s="317">
        <v>55141</v>
      </c>
      <c r="V15" s="317">
        <v>-50394</v>
      </c>
      <c r="W15" s="318">
        <v>8.609E-2</v>
      </c>
      <c r="X15" s="614">
        <f>+'2025 General'!C15</f>
        <v>439280.364</v>
      </c>
      <c r="Y15" s="149">
        <f t="shared" si="1"/>
        <v>354280.364</v>
      </c>
    </row>
    <row r="16" spans="1:31" ht="15.75" x14ac:dyDescent="0.25">
      <c r="A16" s="421" t="s">
        <v>30</v>
      </c>
      <c r="B16" s="196">
        <v>628405</v>
      </c>
      <c r="C16" s="271">
        <v>0.71</v>
      </c>
      <c r="D16" s="422">
        <v>1092632.2</v>
      </c>
      <c r="E16" s="422">
        <f>SUM(E8:E15)</f>
        <v>1065000</v>
      </c>
      <c r="F16" s="422">
        <f>SUM(F8:F15)</f>
        <v>436400</v>
      </c>
      <c r="G16" s="422">
        <f>SUM(G8:G15)</f>
        <v>1501400</v>
      </c>
      <c r="H16" s="199">
        <v>93012.799999999988</v>
      </c>
      <c r="I16" s="200">
        <v>0.10523152728085665</v>
      </c>
      <c r="J16" s="286"/>
      <c r="K16" s="2"/>
      <c r="M16" s="250"/>
      <c r="N16" s="250"/>
      <c r="O16" s="250"/>
      <c r="P16" s="250"/>
      <c r="Q16" s="250" t="s">
        <v>259</v>
      </c>
      <c r="R16" s="250"/>
      <c r="S16" s="250"/>
      <c r="T16" s="251">
        <v>1560</v>
      </c>
      <c r="U16" s="251">
        <v>3300</v>
      </c>
      <c r="V16" s="251">
        <v>-1740</v>
      </c>
      <c r="W16" s="252">
        <v>0.47272999999999998</v>
      </c>
      <c r="X16" s="614">
        <f>+'2025 General'!C16</f>
        <v>1499447.7440000002</v>
      </c>
      <c r="Y16" s="149">
        <f t="shared" si="1"/>
        <v>434447.74400000018</v>
      </c>
    </row>
    <row r="17" spans="1:26" ht="13.5" thickBot="1" x14ac:dyDescent="0.25">
      <c r="A17" s="194"/>
      <c r="B17" s="115"/>
      <c r="C17" s="271"/>
      <c r="D17" s="424"/>
      <c r="E17" s="424"/>
      <c r="F17" s="424"/>
      <c r="G17" s="424"/>
      <c r="H17" s="139"/>
      <c r="I17" s="12"/>
      <c r="J17" s="286"/>
      <c r="K17" s="2"/>
      <c r="M17" s="250"/>
      <c r="N17" s="250"/>
      <c r="O17" s="250"/>
      <c r="P17" s="250"/>
      <c r="Q17" s="250" t="s">
        <v>260</v>
      </c>
      <c r="R17" s="250"/>
      <c r="S17" s="250"/>
      <c r="T17" s="253">
        <v>3398</v>
      </c>
      <c r="U17" s="253">
        <v>6018</v>
      </c>
      <c r="V17" s="253">
        <v>-2620</v>
      </c>
      <c r="W17" s="254">
        <v>0.56464000000000003</v>
      </c>
    </row>
    <row r="18" spans="1:26" ht="16.5" thickBot="1" x14ac:dyDescent="0.3">
      <c r="A18" s="425" t="s">
        <v>55</v>
      </c>
      <c r="B18" s="115"/>
      <c r="C18" s="271"/>
      <c r="D18" s="426" t="s">
        <v>93</v>
      </c>
      <c r="E18" s="590" t="s">
        <v>457</v>
      </c>
      <c r="F18" s="590" t="s">
        <v>457</v>
      </c>
      <c r="G18" s="590" t="s">
        <v>457</v>
      </c>
      <c r="H18" s="168"/>
      <c r="I18" s="96"/>
      <c r="J18" s="286"/>
      <c r="K18" s="2"/>
      <c r="M18" s="250"/>
      <c r="N18" s="250"/>
      <c r="O18" s="250"/>
      <c r="P18" s="250" t="s">
        <v>261</v>
      </c>
      <c r="Q18" s="250"/>
      <c r="R18" s="250"/>
      <c r="S18" s="250"/>
      <c r="T18" s="251">
        <v>9705</v>
      </c>
      <c r="U18" s="251">
        <v>64459</v>
      </c>
      <c r="V18" s="251">
        <v>-54754</v>
      </c>
      <c r="W18" s="252">
        <v>0.15056</v>
      </c>
    </row>
    <row r="19" spans="1:26" x14ac:dyDescent="0.2">
      <c r="A19" s="436" t="s">
        <v>509</v>
      </c>
      <c r="B19" s="115"/>
      <c r="C19" s="271"/>
      <c r="D19" s="428"/>
      <c r="E19" s="652"/>
      <c r="F19" s="652"/>
      <c r="G19" s="652">
        <f>+E19+F19</f>
        <v>0</v>
      </c>
      <c r="H19" s="170" t="s">
        <v>0</v>
      </c>
      <c r="I19" s="98" t="s">
        <v>9</v>
      </c>
      <c r="J19" s="286"/>
      <c r="K19" s="2"/>
      <c r="M19" s="250"/>
      <c r="N19" s="250"/>
      <c r="O19" s="250"/>
      <c r="P19" s="250" t="s">
        <v>262</v>
      </c>
      <c r="Q19" s="250"/>
      <c r="R19" s="250"/>
      <c r="S19" s="250"/>
      <c r="T19" s="251">
        <v>2366</v>
      </c>
      <c r="U19" s="251">
        <v>21000</v>
      </c>
      <c r="V19" s="251">
        <v>-18634</v>
      </c>
      <c r="W19" s="252">
        <v>0.11267000000000001</v>
      </c>
    </row>
    <row r="20" spans="1:26" x14ac:dyDescent="0.2">
      <c r="A20" s="432" t="s">
        <v>87</v>
      </c>
      <c r="B20" s="115">
        <v>301</v>
      </c>
      <c r="C20" s="271">
        <v>0.08</v>
      </c>
      <c r="D20" s="431">
        <v>1000</v>
      </c>
      <c r="E20" s="689">
        <v>500</v>
      </c>
      <c r="F20" s="573">
        <f>ROUND(Y20,-2)</f>
        <v>-100</v>
      </c>
      <c r="G20" s="573">
        <f>+E20+F20</f>
        <v>400</v>
      </c>
      <c r="H20" s="115">
        <v>-2000</v>
      </c>
      <c r="I20" s="11">
        <v>-0.5</v>
      </c>
      <c r="J20" s="286"/>
      <c r="K20" s="2"/>
      <c r="M20" s="250"/>
      <c r="N20" s="250"/>
      <c r="O20" s="250"/>
      <c r="P20" s="250"/>
      <c r="Q20" s="250" t="s">
        <v>264</v>
      </c>
      <c r="R20" s="250"/>
      <c r="S20" s="250"/>
      <c r="T20" s="251">
        <v>2651</v>
      </c>
      <c r="U20" s="251">
        <v>35000</v>
      </c>
      <c r="V20" s="251">
        <v>-32349</v>
      </c>
      <c r="W20" s="252">
        <v>7.5740000000000002E-2</v>
      </c>
      <c r="X20" s="120">
        <f>+'2025 General'!C20</f>
        <v>440.52000000000004</v>
      </c>
      <c r="Y20" s="148">
        <f>+X20-E20</f>
        <v>-59.479999999999961</v>
      </c>
    </row>
    <row r="21" spans="1:26" x14ac:dyDescent="0.2">
      <c r="A21" s="432" t="s">
        <v>22</v>
      </c>
      <c r="B21" s="115" t="s">
        <v>385</v>
      </c>
      <c r="C21" s="271">
        <v>0</v>
      </c>
      <c r="D21" s="431">
        <v>0</v>
      </c>
      <c r="E21" s="689">
        <v>500</v>
      </c>
      <c r="F21" s="573">
        <f t="shared" ref="F21:F31" si="2">ROUND(Y21,-2)</f>
        <v>0</v>
      </c>
      <c r="G21" s="573">
        <f>+E21+F21</f>
        <v>500</v>
      </c>
      <c r="H21" s="115">
        <v>-200</v>
      </c>
      <c r="I21" s="11">
        <v>-1</v>
      </c>
      <c r="J21" s="285" t="s">
        <v>331</v>
      </c>
      <c r="K21" s="2"/>
      <c r="M21" s="250"/>
      <c r="N21" s="250"/>
      <c r="O21" s="250"/>
      <c r="P21" s="250"/>
      <c r="Q21" s="250" t="s">
        <v>265</v>
      </c>
      <c r="R21" s="250"/>
      <c r="S21" s="250"/>
      <c r="T21" s="251">
        <v>441</v>
      </c>
      <c r="U21" s="251">
        <v>0</v>
      </c>
      <c r="V21" s="251">
        <v>441</v>
      </c>
      <c r="W21" s="252">
        <v>1</v>
      </c>
      <c r="X21" s="120">
        <f>+'2025 General'!C21</f>
        <v>540.28800000000001</v>
      </c>
      <c r="Y21" s="148">
        <f t="shared" ref="Y21:Y27" si="3">+X21-E21</f>
        <v>40.288000000000011</v>
      </c>
    </row>
    <row r="22" spans="1:26" ht="13.5" thickBot="1" x14ac:dyDescent="0.25">
      <c r="A22" s="432" t="s">
        <v>50</v>
      </c>
      <c r="B22" s="115">
        <v>558</v>
      </c>
      <c r="C22" s="271">
        <v>0.7</v>
      </c>
      <c r="D22" s="431">
        <v>697.5</v>
      </c>
      <c r="E22" s="689">
        <v>1000</v>
      </c>
      <c r="F22" s="573">
        <f t="shared" si="2"/>
        <v>300</v>
      </c>
      <c r="G22" s="573">
        <f t="shared" ref="G22:G31" si="4">+E22+F22</f>
        <v>1300</v>
      </c>
      <c r="H22" s="115">
        <v>0</v>
      </c>
      <c r="I22" s="11">
        <v>0</v>
      </c>
      <c r="J22" s="286"/>
      <c r="K22" s="2"/>
      <c r="M22" s="250"/>
      <c r="N22" s="250"/>
      <c r="O22" s="250"/>
      <c r="P22" s="250"/>
      <c r="Q22" s="250" t="s">
        <v>266</v>
      </c>
      <c r="R22" s="250"/>
      <c r="S22" s="250"/>
      <c r="T22" s="251">
        <v>4068</v>
      </c>
      <c r="U22" s="251">
        <v>0</v>
      </c>
      <c r="V22" s="251">
        <v>4068</v>
      </c>
      <c r="W22" s="252">
        <v>1</v>
      </c>
      <c r="X22" s="120">
        <f>+'2025 General'!C22</f>
        <v>1294.548</v>
      </c>
      <c r="Y22" s="148">
        <f t="shared" si="3"/>
        <v>294.548</v>
      </c>
    </row>
    <row r="23" spans="1:26" ht="13.5" thickBot="1" x14ac:dyDescent="0.25">
      <c r="A23" s="432" t="s">
        <v>24</v>
      </c>
      <c r="B23" s="115" t="s">
        <v>385</v>
      </c>
      <c r="C23" s="271">
        <v>0</v>
      </c>
      <c r="D23" s="431">
        <v>15000</v>
      </c>
      <c r="E23" s="689">
        <v>22600</v>
      </c>
      <c r="F23" s="573">
        <f t="shared" si="2"/>
        <v>0</v>
      </c>
      <c r="G23" s="573">
        <f t="shared" si="4"/>
        <v>22600</v>
      </c>
      <c r="H23" s="115">
        <v>25.5</v>
      </c>
      <c r="I23" s="11">
        <v>1.5962940937118532E-3</v>
      </c>
      <c r="J23" s="286"/>
      <c r="K23" s="2"/>
      <c r="M23" s="250"/>
      <c r="N23" s="250"/>
      <c r="O23" s="250"/>
      <c r="P23" s="250" t="s">
        <v>267</v>
      </c>
      <c r="Q23" s="250"/>
      <c r="R23" s="250"/>
      <c r="S23" s="250"/>
      <c r="T23" s="255">
        <v>7160</v>
      </c>
      <c r="U23" s="255">
        <v>35000</v>
      </c>
      <c r="V23" s="255">
        <v>-27840</v>
      </c>
      <c r="W23" s="256">
        <v>0.20457</v>
      </c>
      <c r="X23" s="120">
        <f>+'2025 General'!C23</f>
        <v>22600</v>
      </c>
      <c r="Y23" s="148">
        <f t="shared" si="3"/>
        <v>0</v>
      </c>
    </row>
    <row r="24" spans="1:26" ht="13.5" thickBot="1" x14ac:dyDescent="0.25">
      <c r="A24" s="432" t="s">
        <v>85</v>
      </c>
      <c r="B24" s="115">
        <v>5260</v>
      </c>
      <c r="C24" s="271">
        <v>0.56999999999999995</v>
      </c>
      <c r="D24" s="431">
        <v>8000</v>
      </c>
      <c r="E24" s="689">
        <v>9000</v>
      </c>
      <c r="F24" s="573">
        <f t="shared" si="2"/>
        <v>5000</v>
      </c>
      <c r="G24" s="573">
        <f t="shared" si="4"/>
        <v>14000</v>
      </c>
      <c r="H24" s="115">
        <v>20</v>
      </c>
      <c r="I24" s="11">
        <v>2.1786492374727671E-3</v>
      </c>
      <c r="J24" s="285" t="s">
        <v>245</v>
      </c>
      <c r="K24" s="2"/>
      <c r="M24" s="250"/>
      <c r="N24" s="250"/>
      <c r="O24" s="250" t="s">
        <v>116</v>
      </c>
      <c r="P24" s="250"/>
      <c r="Q24" s="250"/>
      <c r="R24" s="250"/>
      <c r="S24" s="250"/>
      <c r="T24" s="257">
        <v>628405</v>
      </c>
      <c r="U24" s="257">
        <v>883887</v>
      </c>
      <c r="V24" s="257">
        <v>-255482</v>
      </c>
      <c r="W24" s="258">
        <v>0.71096000000000004</v>
      </c>
      <c r="X24" s="120">
        <f>+'2025 General'!C25</f>
        <v>13977.52</v>
      </c>
      <c r="Y24" s="148">
        <f t="shared" si="3"/>
        <v>4977.5200000000004</v>
      </c>
    </row>
    <row r="25" spans="1:26" x14ac:dyDescent="0.2">
      <c r="A25" s="432" t="s">
        <v>25</v>
      </c>
      <c r="B25" s="115">
        <v>550</v>
      </c>
      <c r="C25" s="271">
        <v>0.55000000000000004</v>
      </c>
      <c r="D25" s="431">
        <v>1000</v>
      </c>
      <c r="E25" s="689">
        <v>700</v>
      </c>
      <c r="F25" s="573">
        <f t="shared" si="2"/>
        <v>-700</v>
      </c>
      <c r="G25" s="573">
        <f t="shared" si="4"/>
        <v>0</v>
      </c>
      <c r="H25" s="115">
        <v>0</v>
      </c>
      <c r="I25" s="11">
        <v>0</v>
      </c>
      <c r="J25" s="285" t="s">
        <v>411</v>
      </c>
      <c r="K25" s="2"/>
      <c r="M25" s="250"/>
      <c r="N25" s="250" t="s">
        <v>117</v>
      </c>
      <c r="O25" s="250"/>
      <c r="P25" s="250"/>
      <c r="Q25" s="250"/>
      <c r="R25" s="250"/>
      <c r="S25" s="250"/>
      <c r="T25" s="251">
        <v>628405</v>
      </c>
      <c r="U25" s="251">
        <v>883887</v>
      </c>
      <c r="V25" s="251">
        <v>-255482</v>
      </c>
      <c r="W25" s="252">
        <v>0.71096000000000004</v>
      </c>
      <c r="X25" s="120">
        <f>+'2025 General'!C26</f>
        <v>0</v>
      </c>
      <c r="Y25" s="148">
        <f t="shared" si="3"/>
        <v>-700</v>
      </c>
    </row>
    <row r="26" spans="1:26" x14ac:dyDescent="0.2">
      <c r="A26" s="432" t="s">
        <v>2</v>
      </c>
      <c r="B26" s="115">
        <v>10381</v>
      </c>
      <c r="C26" s="271">
        <v>0.73</v>
      </c>
      <c r="D26" s="431">
        <v>12976.25</v>
      </c>
      <c r="E26" s="689">
        <v>12000</v>
      </c>
      <c r="F26" s="573">
        <f t="shared" si="2"/>
        <v>11000</v>
      </c>
      <c r="G26" s="573">
        <f t="shared" si="4"/>
        <v>23000</v>
      </c>
      <c r="H26" s="115">
        <v>20</v>
      </c>
      <c r="I26" s="11">
        <v>1.4005602240896359E-3</v>
      </c>
      <c r="J26" s="286"/>
      <c r="K26" s="2"/>
      <c r="M26" s="250"/>
      <c r="N26" s="250"/>
      <c r="O26" s="250" t="s">
        <v>118</v>
      </c>
      <c r="P26" s="250"/>
      <c r="Q26" s="250"/>
      <c r="R26" s="250"/>
      <c r="S26" s="250"/>
      <c r="T26" s="251"/>
      <c r="U26" s="251"/>
      <c r="V26" s="251"/>
      <c r="W26" s="252"/>
      <c r="X26" s="120">
        <f>+'2025 General'!C27</f>
        <v>23004.252</v>
      </c>
      <c r="Y26" s="148">
        <f t="shared" si="3"/>
        <v>11004.252</v>
      </c>
      <c r="Z26" t="s">
        <v>532</v>
      </c>
    </row>
    <row r="27" spans="1:26" x14ac:dyDescent="0.2">
      <c r="A27" s="432" t="s">
        <v>84</v>
      </c>
      <c r="B27" s="115">
        <v>169000</v>
      </c>
      <c r="C27" s="271">
        <v>0.83</v>
      </c>
      <c r="D27" s="433">
        <v>204000</v>
      </c>
      <c r="E27" s="689">
        <v>215000</v>
      </c>
      <c r="F27" s="573">
        <f t="shared" si="2"/>
        <v>-29600</v>
      </c>
      <c r="G27" s="573">
        <f t="shared" si="4"/>
        <v>185400</v>
      </c>
      <c r="H27" s="115">
        <v>0</v>
      </c>
      <c r="I27" s="11">
        <v>0</v>
      </c>
      <c r="J27" s="285" t="s">
        <v>388</v>
      </c>
      <c r="K27" s="2"/>
      <c r="M27" s="250"/>
      <c r="N27" s="250"/>
      <c r="O27" s="250"/>
      <c r="P27" s="250" t="s">
        <v>27</v>
      </c>
      <c r="Q27" s="250"/>
      <c r="R27" s="250"/>
      <c r="S27" s="250"/>
      <c r="T27" s="251"/>
      <c r="U27" s="251"/>
      <c r="V27" s="251"/>
      <c r="W27" s="252"/>
      <c r="X27" s="120">
        <f>+'2025 General'!C28</f>
        <v>185437.356</v>
      </c>
      <c r="Y27" s="148">
        <f t="shared" si="3"/>
        <v>-29562.644</v>
      </c>
    </row>
    <row r="28" spans="1:26" x14ac:dyDescent="0.2">
      <c r="A28" s="432" t="s">
        <v>86</v>
      </c>
      <c r="B28" s="115" t="s">
        <v>385</v>
      </c>
      <c r="C28" s="271">
        <v>0</v>
      </c>
      <c r="D28" s="431">
        <v>1200</v>
      </c>
      <c r="E28" s="689">
        <v>110000</v>
      </c>
      <c r="F28" s="573">
        <f t="shared" si="2"/>
        <v>16500</v>
      </c>
      <c r="G28" s="573">
        <f t="shared" si="4"/>
        <v>126500</v>
      </c>
      <c r="H28" s="115">
        <v>-36</v>
      </c>
      <c r="I28" s="11">
        <v>-1.9607843137254902E-2</v>
      </c>
      <c r="J28" s="286"/>
      <c r="K28" s="2"/>
      <c r="M28" s="250"/>
      <c r="N28" s="250"/>
      <c r="O28" s="250"/>
      <c r="P28" s="250"/>
      <c r="Q28" s="250" t="s">
        <v>269</v>
      </c>
      <c r="R28" s="250"/>
      <c r="S28" s="250"/>
      <c r="T28" s="251">
        <v>558</v>
      </c>
      <c r="U28" s="251">
        <v>800</v>
      </c>
      <c r="V28" s="251">
        <v>-242</v>
      </c>
      <c r="W28" s="252">
        <v>0.69750000000000001</v>
      </c>
      <c r="X28" s="120">
        <f>+'2025 General'!C29</f>
        <v>126537.144</v>
      </c>
      <c r="Y28" s="148">
        <f>+X28-E28</f>
        <v>16537.144</v>
      </c>
    </row>
    <row r="29" spans="1:26" x14ac:dyDescent="0.2">
      <c r="A29" s="432" t="s">
        <v>239</v>
      </c>
      <c r="B29" s="115">
        <v>4178</v>
      </c>
      <c r="C29" s="271">
        <v>0.6</v>
      </c>
      <c r="D29" s="431">
        <v>5222.5</v>
      </c>
      <c r="E29" s="689">
        <v>3500</v>
      </c>
      <c r="F29" s="573">
        <f t="shared" si="2"/>
        <v>-2700</v>
      </c>
      <c r="G29" s="573">
        <f t="shared" si="4"/>
        <v>800</v>
      </c>
      <c r="H29" s="115">
        <v>-1500</v>
      </c>
      <c r="I29" s="11">
        <v>-0.21428571428571427</v>
      </c>
      <c r="J29" s="286"/>
      <c r="K29" s="2"/>
      <c r="M29" s="250"/>
      <c r="N29" s="250"/>
      <c r="O29" s="250"/>
      <c r="P29" s="250"/>
      <c r="Q29" s="250" t="s">
        <v>270</v>
      </c>
      <c r="R29" s="250"/>
      <c r="S29" s="250"/>
      <c r="T29" s="251">
        <v>0</v>
      </c>
      <c r="U29" s="251">
        <v>15975</v>
      </c>
      <c r="V29" s="251">
        <v>-15975</v>
      </c>
      <c r="W29" s="252">
        <v>0</v>
      </c>
      <c r="X29" s="120">
        <f>+'2025 General'!C31</f>
        <v>762</v>
      </c>
      <c r="Y29" s="148">
        <f>+X29-E29</f>
        <v>-2738</v>
      </c>
    </row>
    <row r="30" spans="1:26" ht="15.75" x14ac:dyDescent="0.25">
      <c r="A30" s="432" t="s">
        <v>23</v>
      </c>
      <c r="B30" s="196">
        <v>316446</v>
      </c>
      <c r="C30" s="271">
        <v>1.1000000000000001</v>
      </c>
      <c r="D30" s="423">
        <v>450196.25</v>
      </c>
      <c r="E30" s="689">
        <v>1500</v>
      </c>
      <c r="F30" s="573">
        <f t="shared" si="2"/>
        <v>2000</v>
      </c>
      <c r="G30" s="573">
        <f t="shared" si="4"/>
        <v>3500</v>
      </c>
      <c r="H30" s="199">
        <v>168329.5</v>
      </c>
      <c r="I30" s="200">
        <v>0.58433439036624713</v>
      </c>
      <c r="J30" s="286"/>
      <c r="K30" s="2"/>
      <c r="M30" s="250"/>
      <c r="N30" s="250"/>
      <c r="O30" s="250"/>
      <c r="P30" s="250"/>
      <c r="Q30" s="250" t="s">
        <v>271</v>
      </c>
      <c r="R30" s="250"/>
      <c r="S30" s="250"/>
      <c r="T30" s="251"/>
      <c r="U30" s="251"/>
      <c r="V30" s="251"/>
      <c r="W30" s="252"/>
      <c r="X30" s="120">
        <f>+'2025 General'!C32</f>
        <v>3483</v>
      </c>
      <c r="Y30" s="148">
        <f>+X30-E30</f>
        <v>1983</v>
      </c>
    </row>
    <row r="31" spans="1:26" ht="13.5" thickBot="1" x14ac:dyDescent="0.25">
      <c r="A31" s="432" t="s">
        <v>31</v>
      </c>
      <c r="B31" s="434"/>
      <c r="C31" s="271"/>
      <c r="D31" s="435"/>
      <c r="E31" s="689">
        <v>7500</v>
      </c>
      <c r="F31" s="573">
        <f t="shared" si="2"/>
        <v>2900</v>
      </c>
      <c r="G31" s="573">
        <f t="shared" si="4"/>
        <v>10400</v>
      </c>
      <c r="H31" s="206"/>
      <c r="I31" s="12"/>
      <c r="J31" s="286"/>
      <c r="K31" s="2"/>
      <c r="M31" s="250"/>
      <c r="N31" s="250"/>
      <c r="O31" s="250"/>
      <c r="P31" s="250"/>
      <c r="Q31" s="250"/>
      <c r="R31" s="250" t="s">
        <v>272</v>
      </c>
      <c r="S31" s="250"/>
      <c r="T31" s="251">
        <v>2246</v>
      </c>
      <c r="U31" s="251">
        <v>9180</v>
      </c>
      <c r="V31" s="251">
        <v>-6934</v>
      </c>
      <c r="W31" s="252">
        <v>0.24465999999999999</v>
      </c>
      <c r="X31" s="120">
        <f>+'2025 General'!C33</f>
        <v>10369.596</v>
      </c>
      <c r="Y31" s="148">
        <f>+X31-E31</f>
        <v>2869.5959999999995</v>
      </c>
    </row>
    <row r="32" spans="1:26" ht="16.5" thickBot="1" x14ac:dyDescent="0.3">
      <c r="A32" s="421" t="s">
        <v>48</v>
      </c>
      <c r="B32" s="115"/>
      <c r="C32" s="271"/>
      <c r="D32" s="419"/>
      <c r="E32" s="645">
        <f>SUM(E20:E31)</f>
        <v>383800</v>
      </c>
      <c r="F32" s="645">
        <f>SUM(F20:F31)</f>
        <v>4600</v>
      </c>
      <c r="G32" s="645">
        <f>SUM(G20:G31)</f>
        <v>388400</v>
      </c>
      <c r="H32" s="115"/>
      <c r="I32" s="11"/>
      <c r="J32" s="286"/>
      <c r="K32" s="2"/>
      <c r="M32" s="250"/>
      <c r="N32" s="250"/>
      <c r="O32" s="250"/>
      <c r="P32" s="250"/>
      <c r="Q32" s="250"/>
      <c r="R32" s="250" t="s">
        <v>273</v>
      </c>
      <c r="S32" s="250"/>
      <c r="T32" s="253">
        <v>3014</v>
      </c>
      <c r="U32" s="253">
        <v>0</v>
      </c>
      <c r="V32" s="253">
        <v>3014</v>
      </c>
      <c r="W32" s="254">
        <v>1</v>
      </c>
      <c r="X32" s="120">
        <f>+'2025 General'!C34</f>
        <v>709864.18400000001</v>
      </c>
      <c r="Y32" s="148">
        <f>+X32-E32</f>
        <v>326064.18400000001</v>
      </c>
    </row>
    <row r="33" spans="1:25" ht="13.5" thickBot="1" x14ac:dyDescent="0.25">
      <c r="A33" s="204"/>
      <c r="B33" s="115"/>
      <c r="C33" s="271"/>
      <c r="D33" s="419"/>
      <c r="E33" s="646"/>
      <c r="F33" s="646"/>
      <c r="G33" s="646"/>
      <c r="H33" s="115"/>
      <c r="I33" s="11"/>
      <c r="J33" s="286"/>
      <c r="K33" s="2"/>
      <c r="M33" s="250"/>
      <c r="N33" s="250"/>
      <c r="O33" s="250"/>
      <c r="P33" s="250"/>
      <c r="Q33" s="250" t="s">
        <v>274</v>
      </c>
      <c r="R33" s="250"/>
      <c r="S33" s="250"/>
      <c r="T33" s="251">
        <v>5260</v>
      </c>
      <c r="U33" s="251">
        <v>9180</v>
      </c>
      <c r="V33" s="251">
        <v>-3920</v>
      </c>
      <c r="W33" s="252">
        <v>0.57298000000000004</v>
      </c>
    </row>
    <row r="34" spans="1:25" x14ac:dyDescent="0.2">
      <c r="A34" s="436" t="s">
        <v>46</v>
      </c>
      <c r="B34" s="115">
        <v>544</v>
      </c>
      <c r="C34" s="271">
        <v>0.36</v>
      </c>
      <c r="D34" s="419">
        <v>1100</v>
      </c>
      <c r="E34" s="573"/>
      <c r="F34" s="573">
        <f>ROUND(Y34,-2)</f>
        <v>0</v>
      </c>
      <c r="G34" s="573">
        <f t="shared" ref="G34:G53" si="5">+E34+F34</f>
        <v>0</v>
      </c>
      <c r="H34" s="115">
        <v>-30</v>
      </c>
      <c r="I34" s="11">
        <v>-1.9607843137254902E-2</v>
      </c>
      <c r="J34" s="286"/>
      <c r="K34" s="2"/>
      <c r="M34" s="250"/>
      <c r="N34" s="250"/>
      <c r="O34" s="250"/>
      <c r="P34" s="250"/>
      <c r="Q34" s="250" t="s">
        <v>275</v>
      </c>
      <c r="R34" s="250"/>
      <c r="S34" s="250"/>
      <c r="T34" s="251">
        <v>550</v>
      </c>
      <c r="U34" s="251">
        <v>1000</v>
      </c>
      <c r="V34" s="251">
        <v>-450</v>
      </c>
      <c r="W34" s="252">
        <v>0.55000000000000004</v>
      </c>
      <c r="X34" s="120">
        <v>0</v>
      </c>
      <c r="Y34" s="148">
        <f t="shared" ref="Y34:Y62" si="6">+X34-E34</f>
        <v>0</v>
      </c>
    </row>
    <row r="35" spans="1:25" x14ac:dyDescent="0.2">
      <c r="A35" s="436" t="s">
        <v>44</v>
      </c>
      <c r="B35" s="115">
        <v>187</v>
      </c>
      <c r="C35" s="271">
        <v>0.15</v>
      </c>
      <c r="D35" s="419">
        <v>1100</v>
      </c>
      <c r="E35" s="573"/>
      <c r="F35" s="573">
        <f t="shared" ref="F35:F51" si="7">ROUND(Y35,-2)</f>
        <v>0</v>
      </c>
      <c r="G35" s="573">
        <f t="shared" si="5"/>
        <v>0</v>
      </c>
      <c r="H35" s="115">
        <v>-24</v>
      </c>
      <c r="I35" s="11">
        <v>-1.9607843137254902E-2</v>
      </c>
      <c r="J35" s="286"/>
      <c r="M35" s="250"/>
      <c r="N35" s="250"/>
      <c r="O35" s="250"/>
      <c r="P35" s="250"/>
      <c r="Q35" s="250" t="s">
        <v>276</v>
      </c>
      <c r="R35" s="250"/>
      <c r="S35" s="250"/>
      <c r="T35" s="251"/>
      <c r="U35" s="251"/>
      <c r="V35" s="251"/>
      <c r="W35" s="252"/>
      <c r="X35" s="120">
        <f>+'2025 General'!C39</f>
        <v>0</v>
      </c>
      <c r="Y35" s="148">
        <f t="shared" si="6"/>
        <v>0</v>
      </c>
    </row>
    <row r="36" spans="1:25" x14ac:dyDescent="0.2">
      <c r="A36" s="432" t="s">
        <v>418</v>
      </c>
      <c r="B36" s="115">
        <v>342</v>
      </c>
      <c r="C36" s="271">
        <v>0.43</v>
      </c>
      <c r="D36" s="419">
        <v>800</v>
      </c>
      <c r="E36" s="689">
        <v>2500</v>
      </c>
      <c r="F36" s="573">
        <f>ROUND(Y36,-2)+100</f>
        <v>-1300</v>
      </c>
      <c r="G36" s="573">
        <f t="shared" si="5"/>
        <v>1200</v>
      </c>
      <c r="H36" s="115">
        <v>0</v>
      </c>
      <c r="I36" s="11">
        <v>0</v>
      </c>
      <c r="J36" s="285" t="s">
        <v>247</v>
      </c>
      <c r="M36" s="250"/>
      <c r="N36" s="250"/>
      <c r="O36" s="250"/>
      <c r="P36" s="250"/>
      <c r="Q36" s="250"/>
      <c r="R36" s="250" t="s">
        <v>277</v>
      </c>
      <c r="S36" s="250"/>
      <c r="T36" s="251">
        <v>1749</v>
      </c>
      <c r="U36" s="251">
        <v>2280</v>
      </c>
      <c r="V36" s="251">
        <v>-531</v>
      </c>
      <c r="W36" s="252">
        <v>0.76710999999999996</v>
      </c>
      <c r="X36" s="120">
        <f>+'2025 General'!C38</f>
        <v>1052.328</v>
      </c>
      <c r="Y36" s="148">
        <f t="shared" si="6"/>
        <v>-1447.672</v>
      </c>
    </row>
    <row r="37" spans="1:25" x14ac:dyDescent="0.2">
      <c r="A37" s="432" t="s">
        <v>33</v>
      </c>
      <c r="B37" s="115">
        <v>21</v>
      </c>
      <c r="C37" s="271">
        <v>0.03</v>
      </c>
      <c r="D37" s="419">
        <v>500</v>
      </c>
      <c r="E37" s="689"/>
      <c r="F37" s="573">
        <f t="shared" si="7"/>
        <v>0</v>
      </c>
      <c r="G37" s="573">
        <f t="shared" si="5"/>
        <v>0</v>
      </c>
      <c r="H37" s="115">
        <v>50</v>
      </c>
      <c r="I37" s="11">
        <v>7.6923076923076927E-2</v>
      </c>
      <c r="J37" s="286"/>
      <c r="M37" s="250"/>
      <c r="N37" s="250"/>
      <c r="O37" s="250"/>
      <c r="P37" s="250"/>
      <c r="Q37" s="250"/>
      <c r="R37" s="250" t="s">
        <v>278</v>
      </c>
      <c r="S37" s="250"/>
      <c r="T37" s="251">
        <v>250</v>
      </c>
      <c r="U37" s="251">
        <v>0</v>
      </c>
      <c r="V37" s="251">
        <v>250</v>
      </c>
      <c r="W37" s="252">
        <v>1</v>
      </c>
      <c r="X37" s="120">
        <f>+'2025 General'!C39</f>
        <v>0</v>
      </c>
      <c r="Y37" s="148">
        <f t="shared" si="6"/>
        <v>0</v>
      </c>
    </row>
    <row r="38" spans="1:25" x14ac:dyDescent="0.2">
      <c r="A38" s="432" t="s">
        <v>34</v>
      </c>
      <c r="B38" s="115"/>
      <c r="C38" s="271"/>
      <c r="D38" s="419"/>
      <c r="E38" s="689">
        <v>1500</v>
      </c>
      <c r="F38" s="573"/>
      <c r="G38" s="573">
        <f t="shared" si="5"/>
        <v>1500</v>
      </c>
      <c r="H38" s="115">
        <v>0</v>
      </c>
      <c r="I38" s="11"/>
      <c r="J38" s="286"/>
      <c r="M38" s="250"/>
      <c r="N38" s="250"/>
      <c r="O38" s="250"/>
      <c r="P38" s="250"/>
      <c r="Q38" s="250"/>
      <c r="R38" s="250" t="s">
        <v>279</v>
      </c>
      <c r="S38" s="250"/>
      <c r="T38" s="251">
        <v>3132</v>
      </c>
      <c r="U38" s="251">
        <v>1200</v>
      </c>
      <c r="V38" s="251">
        <v>1932</v>
      </c>
      <c r="W38" s="252">
        <v>2.61</v>
      </c>
      <c r="X38" s="120">
        <f>+'2025 General'!C40</f>
        <v>1888.2359999999999</v>
      </c>
      <c r="Y38" s="148">
        <f t="shared" si="6"/>
        <v>388.23599999999988</v>
      </c>
    </row>
    <row r="39" spans="1:25" x14ac:dyDescent="0.2">
      <c r="A39" s="432" t="s">
        <v>437</v>
      </c>
      <c r="B39" s="115">
        <v>5281</v>
      </c>
      <c r="C39" s="271">
        <v>0.26</v>
      </c>
      <c r="D39" s="419">
        <v>8500</v>
      </c>
      <c r="E39" s="689">
        <v>1500</v>
      </c>
      <c r="F39" s="573">
        <f t="shared" si="7"/>
        <v>-800</v>
      </c>
      <c r="G39" s="573">
        <f t="shared" si="5"/>
        <v>700</v>
      </c>
      <c r="H39" s="115">
        <v>-5000</v>
      </c>
      <c r="I39" s="11">
        <v>-0.25</v>
      </c>
      <c r="J39" s="285" t="s">
        <v>332</v>
      </c>
      <c r="M39" s="250"/>
      <c r="N39" s="250"/>
      <c r="O39" s="250"/>
      <c r="P39" s="250"/>
      <c r="Q39" s="250"/>
      <c r="R39" s="250" t="s">
        <v>280</v>
      </c>
      <c r="S39" s="250"/>
      <c r="T39" s="251">
        <v>1670</v>
      </c>
      <c r="U39" s="251">
        <v>6000</v>
      </c>
      <c r="V39" s="251">
        <v>-4330</v>
      </c>
      <c r="W39" s="252">
        <v>0.27833000000000002</v>
      </c>
      <c r="X39" s="120">
        <f>+'2025 General'!C41</f>
        <v>653.60399999999993</v>
      </c>
      <c r="Y39" s="148">
        <f t="shared" si="6"/>
        <v>-846.39600000000007</v>
      </c>
    </row>
    <row r="40" spans="1:25" x14ac:dyDescent="0.2">
      <c r="A40" s="432"/>
      <c r="B40" s="115">
        <v>480</v>
      </c>
      <c r="C40" s="271">
        <v>0.05</v>
      </c>
      <c r="D40" s="419">
        <v>1980</v>
      </c>
      <c r="E40" s="689"/>
      <c r="F40" s="573">
        <f t="shared" si="7"/>
        <v>0</v>
      </c>
      <c r="G40" s="573">
        <f t="shared" si="5"/>
        <v>0</v>
      </c>
      <c r="H40" s="115">
        <v>-5000</v>
      </c>
      <c r="I40" s="11">
        <v>-0.5</v>
      </c>
      <c r="J40" s="286"/>
      <c r="M40" s="250"/>
      <c r="N40" s="250"/>
      <c r="O40" s="250"/>
      <c r="P40" s="250"/>
      <c r="Q40" s="250"/>
      <c r="R40" s="250" t="s">
        <v>281</v>
      </c>
      <c r="S40" s="250"/>
      <c r="T40" s="251">
        <v>3110</v>
      </c>
      <c r="U40" s="251">
        <v>4800</v>
      </c>
      <c r="V40" s="251">
        <v>-1690</v>
      </c>
      <c r="W40" s="252">
        <v>0.64792000000000005</v>
      </c>
      <c r="X40" s="120">
        <f>+'2025 General'!C42</f>
        <v>0</v>
      </c>
      <c r="Y40" s="148">
        <f t="shared" si="6"/>
        <v>0</v>
      </c>
    </row>
    <row r="41" spans="1:25" ht="13.5" thickBot="1" x14ac:dyDescent="0.25">
      <c r="A41" s="436" t="s">
        <v>43</v>
      </c>
      <c r="B41" s="142">
        <v>5149</v>
      </c>
      <c r="C41" s="271">
        <v>1.1399999999999999</v>
      </c>
      <c r="D41" s="419">
        <v>4500</v>
      </c>
      <c r="E41" s="689"/>
      <c r="F41" s="573">
        <f>ROUND(Y41,-2)+100</f>
        <v>100</v>
      </c>
      <c r="G41" s="573">
        <f t="shared" si="5"/>
        <v>100</v>
      </c>
      <c r="H41" s="115">
        <v>500</v>
      </c>
      <c r="I41" s="11">
        <v>0.1111111111111111</v>
      </c>
      <c r="J41" s="285" t="s">
        <v>333</v>
      </c>
      <c r="M41" s="250"/>
      <c r="N41" s="250"/>
      <c r="O41" s="250"/>
      <c r="P41" s="250"/>
      <c r="Q41" s="250"/>
      <c r="R41" s="250" t="s">
        <v>282</v>
      </c>
      <c r="S41" s="250"/>
      <c r="T41" s="253">
        <v>470</v>
      </c>
      <c r="U41" s="253">
        <v>0</v>
      </c>
      <c r="V41" s="253">
        <v>470</v>
      </c>
      <c r="W41" s="254">
        <v>1</v>
      </c>
      <c r="X41" s="120">
        <f>+'2025 General'!C43</f>
        <v>0</v>
      </c>
      <c r="Y41" s="148">
        <f t="shared" si="6"/>
        <v>0</v>
      </c>
    </row>
    <row r="42" spans="1:25" x14ac:dyDescent="0.2">
      <c r="A42" s="432" t="s">
        <v>39</v>
      </c>
      <c r="B42" s="115">
        <v>5777</v>
      </c>
      <c r="C42" s="271">
        <v>0.96</v>
      </c>
      <c r="D42" s="419">
        <v>6759.0899999999992</v>
      </c>
      <c r="E42" s="689">
        <v>25000</v>
      </c>
      <c r="F42" s="573">
        <f>ROUND(Y42,-2)+100</f>
        <v>-5200</v>
      </c>
      <c r="G42" s="573">
        <f t="shared" si="5"/>
        <v>19800</v>
      </c>
      <c r="H42" s="115">
        <v>1000</v>
      </c>
      <c r="I42" s="11">
        <v>0.16666666666666666</v>
      </c>
      <c r="J42" s="285" t="s">
        <v>334</v>
      </c>
      <c r="M42" s="250"/>
      <c r="N42" s="250"/>
      <c r="O42" s="250"/>
      <c r="P42" s="250"/>
      <c r="Q42" s="250" t="s">
        <v>283</v>
      </c>
      <c r="R42" s="250"/>
      <c r="S42" s="250"/>
      <c r="T42" s="251">
        <v>10381</v>
      </c>
      <c r="U42" s="251">
        <v>14280</v>
      </c>
      <c r="V42" s="251">
        <v>-3899</v>
      </c>
      <c r="W42" s="252">
        <v>0.72696000000000005</v>
      </c>
      <c r="X42" s="120">
        <f>+'2025 General'!C44</f>
        <v>19672.5</v>
      </c>
      <c r="Y42" s="148">
        <f t="shared" si="6"/>
        <v>-5327.5</v>
      </c>
    </row>
    <row r="43" spans="1:25" x14ac:dyDescent="0.2">
      <c r="A43" s="432" t="s">
        <v>51</v>
      </c>
      <c r="B43" s="115">
        <v>664</v>
      </c>
      <c r="C43" s="271">
        <v>0.08</v>
      </c>
      <c r="D43" s="419">
        <v>2164</v>
      </c>
      <c r="E43" s="689">
        <v>10000</v>
      </c>
      <c r="F43" s="573">
        <f t="shared" si="7"/>
        <v>-9100</v>
      </c>
      <c r="G43" s="573">
        <f t="shared" si="5"/>
        <v>900</v>
      </c>
      <c r="H43" s="115">
        <v>0</v>
      </c>
      <c r="I43" s="11">
        <v>0</v>
      </c>
      <c r="J43" s="286"/>
      <c r="M43" s="250"/>
      <c r="N43" s="250"/>
      <c r="O43" s="250"/>
      <c r="P43" s="250"/>
      <c r="Q43" s="250" t="s">
        <v>284</v>
      </c>
      <c r="R43" s="250"/>
      <c r="S43" s="250"/>
      <c r="T43" s="251"/>
      <c r="U43" s="251"/>
      <c r="V43" s="251"/>
      <c r="W43" s="252"/>
      <c r="X43" s="120">
        <f>+'2025 General'!C45</f>
        <v>900</v>
      </c>
      <c r="Y43" s="148">
        <f t="shared" si="6"/>
        <v>-9100</v>
      </c>
    </row>
    <row r="44" spans="1:25" x14ac:dyDescent="0.2">
      <c r="A44" s="432" t="s">
        <v>29</v>
      </c>
      <c r="B44" s="115">
        <v>14581</v>
      </c>
      <c r="C44" s="271">
        <v>0.52</v>
      </c>
      <c r="D44" s="419">
        <v>22000</v>
      </c>
      <c r="E44" s="689">
        <v>5000</v>
      </c>
      <c r="F44" s="573">
        <f>ROUND(Y44,-2)+100</f>
        <v>-1600</v>
      </c>
      <c r="G44" s="573">
        <f t="shared" si="5"/>
        <v>3400</v>
      </c>
      <c r="H44" s="115">
        <v>-3000</v>
      </c>
      <c r="I44" s="11">
        <v>-0.10714285714285714</v>
      </c>
      <c r="J44" s="285" t="s">
        <v>412</v>
      </c>
      <c r="M44" s="250"/>
      <c r="N44" s="250"/>
      <c r="O44" s="250"/>
      <c r="P44" s="250"/>
      <c r="Q44" s="250"/>
      <c r="R44" s="266" t="s">
        <v>285</v>
      </c>
      <c r="S44" s="266"/>
      <c r="T44" s="267"/>
      <c r="U44" s="267"/>
      <c r="V44" s="267"/>
      <c r="W44" s="268"/>
      <c r="X44" s="120">
        <f>+'2025 General'!C46</f>
        <v>3277.4760000000001</v>
      </c>
      <c r="Y44" s="148">
        <f t="shared" si="6"/>
        <v>-1722.5239999999999</v>
      </c>
    </row>
    <row r="45" spans="1:25" x14ac:dyDescent="0.2">
      <c r="A45" s="432" t="s">
        <v>36</v>
      </c>
      <c r="B45" s="115"/>
      <c r="C45" s="271"/>
      <c r="D45" s="419"/>
      <c r="E45" s="689">
        <v>10000</v>
      </c>
      <c r="F45" s="573"/>
      <c r="G45" s="573">
        <f t="shared" si="5"/>
        <v>10000</v>
      </c>
      <c r="H45" s="115">
        <v>0</v>
      </c>
      <c r="I45" s="11"/>
      <c r="J45" s="286"/>
      <c r="M45" s="250"/>
      <c r="N45" s="250"/>
      <c r="O45" s="250"/>
      <c r="P45" s="250"/>
      <c r="Q45" s="250"/>
      <c r="R45" s="266"/>
      <c r="S45" s="266" t="s">
        <v>286</v>
      </c>
      <c r="T45" s="267">
        <v>8527</v>
      </c>
      <c r="U45" s="267">
        <v>6840</v>
      </c>
      <c r="V45" s="267">
        <v>1687</v>
      </c>
      <c r="W45" s="268">
        <v>1.24664</v>
      </c>
      <c r="X45" s="120">
        <f>+'2025 General'!C47</f>
        <v>7299.0720000000001</v>
      </c>
      <c r="Y45" s="148">
        <f t="shared" si="6"/>
        <v>-2700.9279999999999</v>
      </c>
    </row>
    <row r="46" spans="1:25" ht="13.5" thickBot="1" x14ac:dyDescent="0.25">
      <c r="A46" s="432" t="s">
        <v>437</v>
      </c>
      <c r="B46" s="115">
        <v>2076</v>
      </c>
      <c r="C46" s="271">
        <v>7.0000000000000007E-2</v>
      </c>
      <c r="D46" s="419">
        <v>13000</v>
      </c>
      <c r="E46" s="689">
        <v>10000</v>
      </c>
      <c r="F46" s="573">
        <f>ROUND(Y46,-2)+100</f>
        <v>-9100</v>
      </c>
      <c r="G46" s="573">
        <f t="shared" si="5"/>
        <v>900</v>
      </c>
      <c r="H46" s="115">
        <v>-15560</v>
      </c>
      <c r="I46" s="11">
        <v>-0.5448179271708683</v>
      </c>
      <c r="J46" s="285" t="s">
        <v>335</v>
      </c>
      <c r="M46" s="250"/>
      <c r="N46" s="250"/>
      <c r="O46" s="250"/>
      <c r="P46" s="250"/>
      <c r="Q46" s="250"/>
      <c r="R46" s="266"/>
      <c r="S46" s="266" t="s">
        <v>287</v>
      </c>
      <c r="T46" s="269">
        <v>16611</v>
      </c>
      <c r="U46" s="269">
        <v>162000</v>
      </c>
      <c r="V46" s="269">
        <v>-145389</v>
      </c>
      <c r="W46" s="270">
        <v>0.10254000000000001</v>
      </c>
      <c r="X46" s="120">
        <f>+'2025 General'!C48</f>
        <v>814.2</v>
      </c>
      <c r="Y46" s="148">
        <f t="shared" si="6"/>
        <v>-9185.7999999999993</v>
      </c>
    </row>
    <row r="47" spans="1:25" x14ac:dyDescent="0.2">
      <c r="A47" s="432" t="s">
        <v>37</v>
      </c>
      <c r="B47" s="115">
        <v>33246</v>
      </c>
      <c r="C47" s="271">
        <v>0.72</v>
      </c>
      <c r="D47" s="419">
        <v>30000</v>
      </c>
      <c r="E47" s="689">
        <v>20000</v>
      </c>
      <c r="F47" s="573">
        <f t="shared" si="7"/>
        <v>300</v>
      </c>
      <c r="G47" s="573">
        <f t="shared" si="5"/>
        <v>20300</v>
      </c>
      <c r="H47" s="115">
        <v>-10900</v>
      </c>
      <c r="I47" s="11">
        <v>-0.23747276688453159</v>
      </c>
      <c r="J47" s="285" t="s">
        <v>336</v>
      </c>
      <c r="M47" s="250"/>
      <c r="N47" s="250"/>
      <c r="O47" s="250"/>
      <c r="P47" s="250"/>
      <c r="Q47" s="250"/>
      <c r="R47" s="266" t="s">
        <v>288</v>
      </c>
      <c r="S47" s="266"/>
      <c r="T47" s="267">
        <v>25138</v>
      </c>
      <c r="U47" s="267">
        <v>168840</v>
      </c>
      <c r="V47" s="267">
        <v>-143702</v>
      </c>
      <c r="W47" s="268">
        <v>0.14888999999999999</v>
      </c>
      <c r="X47" s="120">
        <f>+'2025 General'!C49</f>
        <v>20349.54</v>
      </c>
      <c r="Y47" s="148">
        <f t="shared" si="6"/>
        <v>349.54000000000087</v>
      </c>
    </row>
    <row r="48" spans="1:25" x14ac:dyDescent="0.2">
      <c r="A48" s="436" t="s">
        <v>42</v>
      </c>
      <c r="B48" s="115" t="s">
        <v>385</v>
      </c>
      <c r="C48" s="271">
        <v>0</v>
      </c>
      <c r="D48" s="419">
        <v>0</v>
      </c>
      <c r="E48" s="689"/>
      <c r="F48" s="573">
        <f t="shared" si="7"/>
        <v>0</v>
      </c>
      <c r="G48" s="573">
        <f t="shared" si="5"/>
        <v>0</v>
      </c>
      <c r="H48" s="115">
        <v>-3000</v>
      </c>
      <c r="I48" s="11">
        <v>-1</v>
      </c>
      <c r="J48" s="285" t="s">
        <v>247</v>
      </c>
      <c r="M48" s="250"/>
      <c r="N48" s="250"/>
      <c r="O48" s="250"/>
      <c r="P48" s="250"/>
      <c r="Q48" s="250"/>
      <c r="R48" s="266" t="s">
        <v>289</v>
      </c>
      <c r="S48" s="266"/>
      <c r="T48" s="267"/>
      <c r="U48" s="267"/>
      <c r="V48" s="267"/>
      <c r="W48" s="268"/>
      <c r="X48" s="120">
        <f>+'2025 General'!C50</f>
        <v>0</v>
      </c>
      <c r="Y48" s="148">
        <f t="shared" si="6"/>
        <v>0</v>
      </c>
    </row>
    <row r="49" spans="1:25" ht="13.5" thickBot="1" x14ac:dyDescent="0.25">
      <c r="A49" s="432" t="s">
        <v>41</v>
      </c>
      <c r="B49" s="115">
        <v>6</v>
      </c>
      <c r="C49" s="271">
        <v>0</v>
      </c>
      <c r="D49" s="419">
        <v>500</v>
      </c>
      <c r="E49" s="689">
        <v>5000</v>
      </c>
      <c r="F49" s="573">
        <f>ROUND(Y49,-2)+100</f>
        <v>75100</v>
      </c>
      <c r="G49" s="573">
        <f t="shared" si="5"/>
        <v>80100</v>
      </c>
      <c r="H49" s="115">
        <v>-2500</v>
      </c>
      <c r="I49" s="11">
        <v>-0.83333333333333337</v>
      </c>
      <c r="J49" s="286"/>
      <c r="M49" s="250"/>
      <c r="N49" s="250"/>
      <c r="O49" s="250"/>
      <c r="P49" s="250"/>
      <c r="Q49" s="250"/>
      <c r="R49" s="266"/>
      <c r="S49" s="266" t="s">
        <v>290</v>
      </c>
      <c r="T49" s="269">
        <v>20419</v>
      </c>
      <c r="U49" s="269">
        <v>26400</v>
      </c>
      <c r="V49" s="269">
        <v>-5981</v>
      </c>
      <c r="W49" s="270">
        <v>0.77344999999999997</v>
      </c>
      <c r="X49" s="120">
        <f>+'2025 General'!C51</f>
        <v>80049.12000000001</v>
      </c>
      <c r="Y49" s="148">
        <f t="shared" si="6"/>
        <v>75049.12000000001</v>
      </c>
    </row>
    <row r="50" spans="1:25" x14ac:dyDescent="0.2">
      <c r="A50" s="432" t="s">
        <v>28</v>
      </c>
      <c r="B50" s="115">
        <v>118</v>
      </c>
      <c r="C50" s="271">
        <v>0.06</v>
      </c>
      <c r="D50" s="419">
        <v>1400</v>
      </c>
      <c r="E50" s="689">
        <v>200000</v>
      </c>
      <c r="F50" s="573">
        <f t="shared" si="7"/>
        <v>-145700</v>
      </c>
      <c r="G50" s="573">
        <f t="shared" si="5"/>
        <v>54300</v>
      </c>
      <c r="H50" s="115">
        <v>-600</v>
      </c>
      <c r="I50" s="11">
        <v>-0.3</v>
      </c>
      <c r="J50" s="286"/>
      <c r="M50" s="250"/>
      <c r="N50" s="250"/>
      <c r="O50" s="250"/>
      <c r="P50" s="250"/>
      <c r="Q50" s="250"/>
      <c r="R50" s="266" t="s">
        <v>291</v>
      </c>
      <c r="S50" s="266"/>
      <c r="T50" s="267">
        <v>20419</v>
      </c>
      <c r="U50" s="267">
        <v>26400</v>
      </c>
      <c r="V50" s="267">
        <v>-5981</v>
      </c>
      <c r="W50" s="268">
        <v>0.77344999999999997</v>
      </c>
      <c r="X50" s="120">
        <f>+'2025 General'!C52</f>
        <v>54322.596000000005</v>
      </c>
      <c r="Y50" s="148">
        <f t="shared" si="6"/>
        <v>-145677.40399999998</v>
      </c>
    </row>
    <row r="51" spans="1:25" ht="13.5" thickBot="1" x14ac:dyDescent="0.25">
      <c r="A51" s="432" t="s">
        <v>419</v>
      </c>
      <c r="B51" s="115">
        <v>783</v>
      </c>
      <c r="C51" s="271">
        <v>0.2</v>
      </c>
      <c r="D51" s="437">
        <v>3500</v>
      </c>
      <c r="E51" s="689"/>
      <c r="F51" s="573">
        <f t="shared" si="7"/>
        <v>0</v>
      </c>
      <c r="G51" s="573">
        <f t="shared" si="5"/>
        <v>0</v>
      </c>
      <c r="H51" s="115">
        <v>0</v>
      </c>
      <c r="I51" s="11">
        <v>0</v>
      </c>
      <c r="J51" s="286"/>
      <c r="M51" s="250"/>
      <c r="N51" s="250"/>
      <c r="O51" s="250"/>
      <c r="P51" s="250"/>
      <c r="Q51" s="250"/>
      <c r="R51" s="266" t="s">
        <v>292</v>
      </c>
      <c r="S51" s="266"/>
      <c r="T51" s="267"/>
      <c r="U51" s="267"/>
      <c r="V51" s="267"/>
      <c r="W51" s="268"/>
      <c r="X51" s="120">
        <f>+'2025 General'!C53</f>
        <v>0</v>
      </c>
      <c r="Y51" s="148">
        <f t="shared" si="6"/>
        <v>0</v>
      </c>
    </row>
    <row r="52" spans="1:25" s="104" customFormat="1" ht="16.5" thickBot="1" x14ac:dyDescent="0.3">
      <c r="A52" s="432" t="s">
        <v>52</v>
      </c>
      <c r="B52" s="301">
        <v>69255</v>
      </c>
      <c r="C52" s="300">
        <v>0.41</v>
      </c>
      <c r="D52" s="439">
        <v>97803.09</v>
      </c>
      <c r="E52" s="689">
        <v>5000</v>
      </c>
      <c r="F52" s="573">
        <f>ROUND(Y52,-2)+100</f>
        <v>-4900</v>
      </c>
      <c r="G52" s="573">
        <f t="shared" si="5"/>
        <v>100</v>
      </c>
      <c r="H52" s="322">
        <v>-44064</v>
      </c>
      <c r="I52" s="323">
        <v>-0.26281133695963355</v>
      </c>
      <c r="J52" s="303"/>
      <c r="M52" s="304"/>
      <c r="N52" s="304"/>
      <c r="O52" s="304"/>
      <c r="P52" s="304"/>
      <c r="Q52" s="304"/>
      <c r="R52" s="305"/>
      <c r="S52" s="305" t="s">
        <v>293</v>
      </c>
      <c r="T52" s="310">
        <v>87</v>
      </c>
      <c r="U52" s="310">
        <v>360</v>
      </c>
      <c r="V52" s="310">
        <v>-273</v>
      </c>
      <c r="W52" s="311">
        <v>0.24167</v>
      </c>
      <c r="X52" s="120">
        <f>+'2025 General'!C54</f>
        <v>34.368000000000002</v>
      </c>
      <c r="Y52" s="148">
        <f t="shared" si="6"/>
        <v>-4965.6319999999996</v>
      </c>
    </row>
    <row r="53" spans="1:25" s="104" customFormat="1" ht="16.5" thickBot="1" x14ac:dyDescent="0.3">
      <c r="A53" s="432" t="s">
        <v>437</v>
      </c>
      <c r="B53" s="440" t="e">
        <v>#REF!</v>
      </c>
      <c r="C53" s="300"/>
      <c r="D53" s="326"/>
      <c r="E53" s="689">
        <v>500</v>
      </c>
      <c r="F53" s="573">
        <f>ROUND(Y53,-2)+100</f>
        <v>-400</v>
      </c>
      <c r="G53" s="573">
        <f t="shared" si="5"/>
        <v>100</v>
      </c>
      <c r="H53" s="322"/>
      <c r="I53" s="327"/>
      <c r="J53" s="303"/>
      <c r="M53" s="304"/>
      <c r="N53" s="304"/>
      <c r="O53" s="304"/>
      <c r="P53" s="304"/>
      <c r="Q53" s="304"/>
      <c r="R53" s="305"/>
      <c r="S53" s="305" t="s">
        <v>294</v>
      </c>
      <c r="T53" s="310">
        <v>241</v>
      </c>
      <c r="U53" s="310">
        <v>1800</v>
      </c>
      <c r="V53" s="310">
        <v>-1559</v>
      </c>
      <c r="W53" s="311">
        <v>0.13389000000000001</v>
      </c>
      <c r="X53" s="120">
        <f>+'2025 General'!C55</f>
        <v>0</v>
      </c>
      <c r="Y53" s="148">
        <f t="shared" si="6"/>
        <v>-500</v>
      </c>
    </row>
    <row r="54" spans="1:25" s="104" customFormat="1" ht="18" customHeight="1" thickBot="1" x14ac:dyDescent="0.3">
      <c r="A54" s="432" t="s">
        <v>20</v>
      </c>
      <c r="B54" s="301">
        <v>225000</v>
      </c>
      <c r="C54" s="300">
        <v>1</v>
      </c>
      <c r="D54" s="442">
        <v>225000</v>
      </c>
      <c r="E54" s="689">
        <v>1000</v>
      </c>
      <c r="F54" s="573">
        <f>ROUND(Y54,-2)+100</f>
        <v>-900</v>
      </c>
      <c r="G54" s="573">
        <f>+E54+F54</f>
        <v>100</v>
      </c>
      <c r="H54" s="322">
        <v>0</v>
      </c>
      <c r="I54" s="328">
        <v>0</v>
      </c>
      <c r="J54" s="285" t="s">
        <v>395</v>
      </c>
      <c r="K54" s="329"/>
      <c r="M54" s="304"/>
      <c r="N54" s="304"/>
      <c r="O54" s="304"/>
      <c r="P54" s="304"/>
      <c r="Q54" s="304"/>
      <c r="R54" s="305"/>
      <c r="S54" s="305" t="s">
        <v>295</v>
      </c>
      <c r="T54" s="310">
        <v>1030</v>
      </c>
      <c r="U54" s="310">
        <v>6480</v>
      </c>
      <c r="V54" s="310">
        <v>-5450</v>
      </c>
      <c r="W54" s="311">
        <v>0.15895000000000001</v>
      </c>
      <c r="X54" s="120">
        <f>+'2025 General'!C56</f>
        <v>0</v>
      </c>
      <c r="Y54" s="148">
        <f t="shared" si="6"/>
        <v>-1000</v>
      </c>
    </row>
    <row r="55" spans="1:25" s="104" customFormat="1" ht="18" customHeight="1" thickBot="1" x14ac:dyDescent="0.3">
      <c r="A55" s="436" t="s">
        <v>506</v>
      </c>
      <c r="B55" s="301"/>
      <c r="C55" s="300"/>
      <c r="D55" s="443"/>
      <c r="E55" s="689"/>
      <c r="F55" s="573"/>
      <c r="G55" s="573"/>
      <c r="H55" s="322"/>
      <c r="I55" s="328"/>
      <c r="J55" s="285"/>
      <c r="K55" s="329"/>
      <c r="M55" s="304"/>
      <c r="N55" s="304"/>
      <c r="O55" s="304"/>
      <c r="P55" s="304"/>
      <c r="Q55" s="304"/>
      <c r="R55" s="305"/>
      <c r="S55" s="305"/>
      <c r="T55" s="310"/>
      <c r="U55" s="310"/>
      <c r="V55" s="310"/>
      <c r="W55" s="311"/>
      <c r="X55" s="120"/>
      <c r="Y55" s="148">
        <f t="shared" si="6"/>
        <v>0</v>
      </c>
    </row>
    <row r="56" spans="1:25" s="104" customFormat="1" ht="16.5" thickBot="1" x14ac:dyDescent="0.3">
      <c r="A56" s="677" t="s">
        <v>511</v>
      </c>
      <c r="B56" s="301"/>
      <c r="C56" s="300"/>
      <c r="D56" s="158"/>
      <c r="E56" s="573">
        <v>290111</v>
      </c>
      <c r="F56" s="573">
        <f>ROUND(Y56,-2)+100</f>
        <v>31400</v>
      </c>
      <c r="G56" s="573">
        <f t="shared" ref="G56" si="8">+E56+F56</f>
        <v>321511</v>
      </c>
      <c r="H56" s="330"/>
      <c r="I56" s="323"/>
      <c r="J56" s="303"/>
      <c r="M56" s="304"/>
      <c r="N56" s="304"/>
      <c r="O56" s="304"/>
      <c r="P56" s="304"/>
      <c r="Q56" s="304"/>
      <c r="R56" s="305"/>
      <c r="S56" s="305" t="s">
        <v>296</v>
      </c>
      <c r="T56" s="310">
        <v>17</v>
      </c>
      <c r="U56" s="310">
        <v>120</v>
      </c>
      <c r="V56" s="310">
        <v>-103</v>
      </c>
      <c r="W56" s="311">
        <v>0.14166999999999999</v>
      </c>
      <c r="X56" s="120">
        <f>+'2025 General'!C24</f>
        <v>321417.96000000002</v>
      </c>
      <c r="Y56" s="148">
        <f t="shared" si="6"/>
        <v>31306.960000000021</v>
      </c>
    </row>
    <row r="57" spans="1:25" s="104" customFormat="1" ht="16.5" thickBot="1" x14ac:dyDescent="0.3">
      <c r="A57" s="438" t="s">
        <v>47</v>
      </c>
      <c r="B57" s="445">
        <v>628405</v>
      </c>
      <c r="C57" s="300">
        <v>0.71</v>
      </c>
      <c r="D57" s="446">
        <v>1092632.2</v>
      </c>
      <c r="E57" s="647">
        <f>SUM(E36:E56)</f>
        <v>587111</v>
      </c>
      <c r="F57" s="647">
        <f>SUM(F34:F56)</f>
        <v>-72100</v>
      </c>
      <c r="G57" s="647">
        <f>SUM(G34:G56)</f>
        <v>515011</v>
      </c>
      <c r="H57" s="301">
        <v>93012.800000000047</v>
      </c>
      <c r="I57" s="309">
        <v>0.1052315272808567</v>
      </c>
      <c r="J57" s="303"/>
      <c r="M57" s="304"/>
      <c r="N57" s="304"/>
      <c r="O57" s="304"/>
      <c r="P57" s="304"/>
      <c r="Q57" s="304" t="s">
        <v>298</v>
      </c>
      <c r="R57" s="305"/>
      <c r="S57" s="305"/>
      <c r="T57" s="310">
        <v>46932</v>
      </c>
      <c r="U57" s="310">
        <v>204000</v>
      </c>
      <c r="V57" s="310">
        <v>-157068</v>
      </c>
      <c r="W57" s="311">
        <v>0.23005999999999999</v>
      </c>
      <c r="X57" s="655">
        <f>SUM(X34:X56)</f>
        <v>511731</v>
      </c>
      <c r="Y57" s="148">
        <f t="shared" si="6"/>
        <v>-75380</v>
      </c>
    </row>
    <row r="58" spans="1:25" s="104" customFormat="1" ht="16.5" thickBot="1" x14ac:dyDescent="0.3">
      <c r="A58" s="324"/>
      <c r="B58" s="301">
        <v>610701</v>
      </c>
      <c r="C58" s="300">
        <v>0.9</v>
      </c>
      <c r="D58" s="444">
        <v>772999.34</v>
      </c>
      <c r="E58" s="648"/>
      <c r="F58" s="648"/>
      <c r="G58" s="648"/>
      <c r="H58" s="301">
        <v>124265.5</v>
      </c>
      <c r="I58" s="302">
        <v>0.1825462056058566</v>
      </c>
      <c r="J58" s="303"/>
      <c r="M58" s="304"/>
      <c r="N58" s="304"/>
      <c r="O58" s="304"/>
      <c r="P58" s="304"/>
      <c r="Q58" s="304"/>
      <c r="R58" s="305" t="s">
        <v>297</v>
      </c>
      <c r="S58" s="305"/>
      <c r="T58" s="306">
        <v>1375</v>
      </c>
      <c r="U58" s="306">
        <v>8760</v>
      </c>
      <c r="V58" s="306">
        <v>-7385</v>
      </c>
      <c r="W58" s="307">
        <v>0.15695999999999999</v>
      </c>
      <c r="X58" s="613"/>
    </row>
    <row r="59" spans="1:25" s="104" customFormat="1" ht="16.5" thickBot="1" x14ac:dyDescent="0.3">
      <c r="A59" s="441" t="s">
        <v>391</v>
      </c>
      <c r="B59" s="322"/>
      <c r="C59" s="551"/>
      <c r="D59" s="552">
        <v>319632.86</v>
      </c>
      <c r="E59" s="649">
        <v>300000</v>
      </c>
      <c r="F59" s="649">
        <f>+Y59</f>
        <v>-110000</v>
      </c>
      <c r="G59" s="649">
        <f>+E59+F59</f>
        <v>190000</v>
      </c>
      <c r="H59" s="301">
        <v>-31252.699999999953</v>
      </c>
      <c r="I59" s="309"/>
      <c r="J59" s="303"/>
      <c r="M59" s="304"/>
      <c r="N59" s="304"/>
      <c r="O59" s="304"/>
      <c r="P59" s="304"/>
      <c r="Q59" s="304"/>
      <c r="R59" s="304" t="s">
        <v>300</v>
      </c>
      <c r="S59" s="304"/>
      <c r="T59" s="332">
        <v>7530</v>
      </c>
      <c r="U59" s="332">
        <v>6500</v>
      </c>
      <c r="V59" s="332">
        <v>1030</v>
      </c>
      <c r="W59" s="333">
        <v>1.15846</v>
      </c>
      <c r="X59" s="613">
        <f>+'2025 General'!C61</f>
        <v>190000</v>
      </c>
      <c r="Y59" s="148">
        <f t="shared" si="6"/>
        <v>-110000</v>
      </c>
    </row>
    <row r="60" spans="1:25" s="104" customFormat="1" ht="16.5" thickBot="1" x14ac:dyDescent="0.3">
      <c r="A60" s="583"/>
      <c r="B60" s="335">
        <v>17704</v>
      </c>
      <c r="C60" s="336">
        <v>0.09</v>
      </c>
      <c r="D60" s="447">
        <v>0</v>
      </c>
      <c r="E60" s="649"/>
      <c r="F60" s="649"/>
      <c r="G60" s="649"/>
      <c r="H60" s="337">
        <v>0</v>
      </c>
      <c r="I60" s="323"/>
      <c r="J60" s="338"/>
      <c r="M60" s="304"/>
      <c r="N60" s="304"/>
      <c r="O60" s="304"/>
      <c r="P60" s="304"/>
      <c r="Q60" s="304"/>
      <c r="R60" s="304"/>
      <c r="S60" s="304"/>
      <c r="T60" s="332"/>
      <c r="U60" s="332"/>
      <c r="V60" s="332"/>
      <c r="W60" s="333"/>
      <c r="X60" s="613">
        <f>+'2025 General'!C68</f>
        <v>0</v>
      </c>
    </row>
    <row r="61" spans="1:25" ht="16.5" thickBot="1" x14ac:dyDescent="0.3">
      <c r="A61" s="584" t="s">
        <v>64</v>
      </c>
      <c r="E61" s="650">
        <f>+E16</f>
        <v>1065000</v>
      </c>
      <c r="F61" s="650">
        <f>+F16</f>
        <v>436400</v>
      </c>
      <c r="G61" s="650">
        <f>+G16</f>
        <v>1501400</v>
      </c>
      <c r="J61" s="286"/>
      <c r="Y61" s="148">
        <f t="shared" si="6"/>
        <v>-1065000</v>
      </c>
    </row>
    <row r="62" spans="1:25" ht="16.5" thickBot="1" x14ac:dyDescent="0.3">
      <c r="A62" s="566" t="s">
        <v>14</v>
      </c>
      <c r="B62" s="115"/>
      <c r="E62" s="651">
        <f>+E57+E59+E32</f>
        <v>1270911</v>
      </c>
      <c r="F62" s="651">
        <f>+F57+F59+F32</f>
        <v>-177500</v>
      </c>
      <c r="G62" s="651">
        <f>+G57+G59+G32</f>
        <v>1093411</v>
      </c>
      <c r="J62" s="286"/>
      <c r="Y62" s="148">
        <f t="shared" si="6"/>
        <v>-1270911</v>
      </c>
    </row>
    <row r="63" spans="1:25" ht="15.75" thickBot="1" x14ac:dyDescent="0.25">
      <c r="A63" s="331"/>
      <c r="B63" s="115"/>
      <c r="E63" s="547"/>
      <c r="F63" s="547"/>
      <c r="G63" s="547"/>
      <c r="J63" s="286"/>
    </row>
    <row r="64" spans="1:25" ht="16.5" thickBot="1" x14ac:dyDescent="0.3">
      <c r="A64" s="515" t="s">
        <v>510</v>
      </c>
      <c r="B64" s="519"/>
      <c r="C64" s="519"/>
      <c r="D64" s="519">
        <f>D61-D62</f>
        <v>0</v>
      </c>
      <c r="E64" s="519">
        <f>E61-E62</f>
        <v>-205911</v>
      </c>
      <c r="F64" s="519"/>
      <c r="G64" s="519">
        <f>G61-G62</f>
        <v>407989</v>
      </c>
      <c r="J64" s="286"/>
    </row>
    <row r="65" spans="1:25" ht="16.5" thickBot="1" x14ac:dyDescent="0.3">
      <c r="A65" s="515" t="s">
        <v>344</v>
      </c>
      <c r="B65" s="519">
        <f>B61-B62</f>
        <v>0</v>
      </c>
      <c r="C65" s="519">
        <f>C61-C62</f>
        <v>0</v>
      </c>
      <c r="D65" s="519">
        <v>0</v>
      </c>
      <c r="E65" s="519"/>
      <c r="F65" s="519">
        <f>F61-F62</f>
        <v>613900</v>
      </c>
      <c r="G65" s="519">
        <v>0</v>
      </c>
      <c r="J65" s="286"/>
      <c r="Y65" s="148">
        <f>+X65-E64</f>
        <v>205911</v>
      </c>
    </row>
    <row r="66" spans="1:25" ht="16.5" thickBot="1" x14ac:dyDescent="0.3">
      <c r="A66" s="334" t="s">
        <v>59</v>
      </c>
      <c r="B66" s="520">
        <f>+B61-B62-B65</f>
        <v>0</v>
      </c>
      <c r="C66" s="520">
        <f>+C61-C62-C65</f>
        <v>0</v>
      </c>
      <c r="D66" s="520">
        <f>+D61-D62-D65-D64</f>
        <v>0</v>
      </c>
      <c r="E66" s="520">
        <f>+E61-E62-E64</f>
        <v>0</v>
      </c>
      <c r="F66" s="520">
        <f>+F61-F62-F65</f>
        <v>0</v>
      </c>
      <c r="G66" s="520">
        <f>+G61-G62-G65-G64</f>
        <v>0</v>
      </c>
      <c r="J66" s="286"/>
    </row>
    <row r="67" spans="1:25" ht="15.75" x14ac:dyDescent="0.25">
      <c r="A67" s="654"/>
      <c r="B67" s="115"/>
      <c r="E67" s="655"/>
      <c r="F67" s="655"/>
      <c r="G67" s="655"/>
      <c r="J67" s="286"/>
    </row>
    <row r="68" spans="1:25" ht="18.75" thickBot="1" x14ac:dyDescent="0.3">
      <c r="A68" s="623" t="s">
        <v>320</v>
      </c>
      <c r="B68" s="139"/>
      <c r="C68" s="535"/>
      <c r="D68" s="535"/>
      <c r="E68" s="729" t="s">
        <v>499</v>
      </c>
      <c r="F68" s="729"/>
      <c r="G68" s="729"/>
      <c r="J68" s="286"/>
    </row>
    <row r="69" spans="1:25" ht="15.75" x14ac:dyDescent="0.25">
      <c r="A69" s="523" t="s">
        <v>26</v>
      </c>
      <c r="B69" s="115"/>
      <c r="E69" s="590" t="s">
        <v>457</v>
      </c>
      <c r="F69" s="590" t="s">
        <v>457</v>
      </c>
      <c r="G69" s="590" t="s">
        <v>457</v>
      </c>
      <c r="J69" s="286"/>
    </row>
    <row r="70" spans="1:25" ht="15" x14ac:dyDescent="0.2">
      <c r="A70" s="137" t="s">
        <v>441</v>
      </c>
      <c r="B70" s="115"/>
      <c r="E70" s="572">
        <v>0</v>
      </c>
      <c r="F70" s="572">
        <f>ROUND(Y70,-2)</f>
        <v>1451300</v>
      </c>
      <c r="G70" s="572">
        <f t="shared" ref="G70:G76" si="9">+E70+F70</f>
        <v>1451300</v>
      </c>
      <c r="H70" s="301">
        <v>-123200</v>
      </c>
      <c r="J70" s="286"/>
      <c r="X70" s="120">
        <f>+'2025 Construction'!G8</f>
        <v>1451274.27</v>
      </c>
      <c r="Y70" s="148">
        <f t="shared" ref="Y70:Y77" si="10">+X70-E70</f>
        <v>1451274.27</v>
      </c>
    </row>
    <row r="71" spans="1:25" ht="15" x14ac:dyDescent="0.2">
      <c r="A71" s="137" t="s">
        <v>398</v>
      </c>
      <c r="B71" s="115"/>
      <c r="E71" s="572">
        <v>0</v>
      </c>
      <c r="F71" s="572">
        <f t="shared" ref="F71:F75" si="11">ROUND(Y71,-2)</f>
        <v>20000</v>
      </c>
      <c r="G71" s="572">
        <f t="shared" si="9"/>
        <v>20000</v>
      </c>
      <c r="H71" s="301">
        <v>487090</v>
      </c>
      <c r="J71" s="286"/>
      <c r="X71" s="120">
        <f>+'2025 Construction'!G9</f>
        <v>20000</v>
      </c>
      <c r="Y71" s="148">
        <f t="shared" si="10"/>
        <v>20000</v>
      </c>
    </row>
    <row r="72" spans="1:25" ht="15" x14ac:dyDescent="0.2">
      <c r="A72" s="137" t="s">
        <v>429</v>
      </c>
      <c r="B72" s="115"/>
      <c r="E72" s="572">
        <v>350000</v>
      </c>
      <c r="F72" s="572">
        <f t="shared" si="11"/>
        <v>650000</v>
      </c>
      <c r="G72" s="572">
        <f t="shared" si="9"/>
        <v>1000000</v>
      </c>
      <c r="H72" s="301"/>
      <c r="J72" s="286"/>
      <c r="X72" s="120">
        <f>+'2025 Construction'!G10</f>
        <v>1000000</v>
      </c>
      <c r="Y72" s="148">
        <f t="shared" si="10"/>
        <v>650000</v>
      </c>
    </row>
    <row r="73" spans="1:25" ht="15" x14ac:dyDescent="0.2">
      <c r="A73" s="137" t="s">
        <v>430</v>
      </c>
      <c r="B73" s="115"/>
      <c r="E73" s="572">
        <v>1000000</v>
      </c>
      <c r="F73" s="572">
        <f t="shared" si="11"/>
        <v>-700000</v>
      </c>
      <c r="G73" s="572">
        <f t="shared" si="9"/>
        <v>300000</v>
      </c>
      <c r="H73" s="301">
        <v>50</v>
      </c>
      <c r="J73" s="286"/>
      <c r="L73" s="661" t="s">
        <v>504</v>
      </c>
      <c r="X73" s="120">
        <f>+'2025 Construction'!G11</f>
        <v>300000</v>
      </c>
      <c r="Y73" s="148">
        <f t="shared" si="10"/>
        <v>-700000</v>
      </c>
    </row>
    <row r="74" spans="1:25" x14ac:dyDescent="0.2">
      <c r="A74" s="137" t="s">
        <v>381</v>
      </c>
      <c r="B74" s="115"/>
      <c r="E74" s="572">
        <v>696000</v>
      </c>
      <c r="F74" s="572">
        <f t="shared" si="11"/>
        <v>983400</v>
      </c>
      <c r="G74" s="572">
        <f t="shared" si="9"/>
        <v>1679400</v>
      </c>
      <c r="J74" s="286"/>
      <c r="X74" s="120">
        <f>+'2025 Construction'!G13</f>
        <v>1679378.7</v>
      </c>
      <c r="Y74" s="148">
        <f t="shared" si="10"/>
        <v>983378.7</v>
      </c>
    </row>
    <row r="75" spans="1:25" x14ac:dyDescent="0.2">
      <c r="A75" s="137" t="s">
        <v>396</v>
      </c>
      <c r="B75" s="115"/>
      <c r="E75" s="572">
        <v>0</v>
      </c>
      <c r="F75" s="572">
        <f t="shared" si="11"/>
        <v>3199300</v>
      </c>
      <c r="G75" s="572">
        <f t="shared" si="9"/>
        <v>3199300</v>
      </c>
      <c r="J75" s="286"/>
      <c r="X75" s="120">
        <f>+'2025 Construction'!G14</f>
        <v>3199344.47</v>
      </c>
      <c r="Y75" s="148">
        <f t="shared" si="10"/>
        <v>3199344.47</v>
      </c>
    </row>
    <row r="76" spans="1:25" ht="13.5" thickBot="1" x14ac:dyDescent="0.25">
      <c r="A76" s="151" t="s">
        <v>451</v>
      </c>
      <c r="B76" s="115"/>
      <c r="E76" s="581">
        <v>115000</v>
      </c>
      <c r="F76" s="581">
        <f>ROUND(Y76,-2)+100</f>
        <v>89900</v>
      </c>
      <c r="G76" s="581">
        <f t="shared" si="9"/>
        <v>204900</v>
      </c>
      <c r="J76" s="286"/>
      <c r="X76" s="120">
        <f>+'2025 Construction'!G15</f>
        <v>204804.36</v>
      </c>
      <c r="Y76" s="148">
        <f t="shared" si="10"/>
        <v>89804.359999999986</v>
      </c>
    </row>
    <row r="77" spans="1:25" ht="16.5" thickBot="1" x14ac:dyDescent="0.3">
      <c r="A77" s="438" t="s">
        <v>407</v>
      </c>
      <c r="B77" s="115"/>
      <c r="E77" s="656">
        <f>SUM(E70:E76)</f>
        <v>2161000</v>
      </c>
      <c r="F77" s="656">
        <f>SUM(F70:F76)</f>
        <v>5693900</v>
      </c>
      <c r="G77" s="656">
        <f>SUM(G70:G76)</f>
        <v>7854900</v>
      </c>
      <c r="J77" s="286"/>
      <c r="Y77" s="148">
        <f t="shared" si="10"/>
        <v>-2161000</v>
      </c>
    </row>
    <row r="78" spans="1:25" ht="23.25" x14ac:dyDescent="0.35">
      <c r="A78" s="246"/>
      <c r="B78" s="115"/>
      <c r="E78" s="658"/>
      <c r="F78" s="658"/>
      <c r="G78" s="658"/>
      <c r="J78" s="286"/>
      <c r="Y78" s="148"/>
    </row>
    <row r="79" spans="1:25" ht="24" thickBot="1" x14ac:dyDescent="0.4">
      <c r="A79" s="246" t="s">
        <v>330</v>
      </c>
      <c r="B79" s="115"/>
      <c r="E79" s="568"/>
      <c r="F79" s="568"/>
      <c r="G79" s="568"/>
      <c r="J79" s="286"/>
      <c r="Y79" s="148"/>
    </row>
    <row r="80" spans="1:25" ht="16.5" thickBot="1" x14ac:dyDescent="0.3">
      <c r="A80" s="529" t="s">
        <v>55</v>
      </c>
      <c r="B80" s="115"/>
      <c r="E80" s="590" t="s">
        <v>457</v>
      </c>
      <c r="F80" s="590" t="s">
        <v>457</v>
      </c>
      <c r="G80" s="590" t="s">
        <v>457</v>
      </c>
      <c r="J80" s="286"/>
      <c r="Y80" s="148"/>
    </row>
    <row r="81" spans="1:25" x14ac:dyDescent="0.2">
      <c r="A81" s="575" t="s">
        <v>442</v>
      </c>
      <c r="B81" s="115"/>
      <c r="E81" s="690">
        <f>12*5000</f>
        <v>60000</v>
      </c>
      <c r="F81" s="572">
        <f t="shared" ref="F81:F96" si="12">ROUND(Y81,-2)</f>
        <v>-60000</v>
      </c>
      <c r="G81" s="572">
        <f>+E81+F81</f>
        <v>0</v>
      </c>
      <c r="J81" s="286"/>
      <c r="L81" s="148"/>
      <c r="X81" s="120">
        <f>+'2025 Construction'!G20</f>
        <v>0</v>
      </c>
      <c r="Y81" s="148">
        <f t="shared" ref="Y81:Y96" si="13">+X81-E81</f>
        <v>-60000</v>
      </c>
    </row>
    <row r="82" spans="1:25" ht="13.5" thickBot="1" x14ac:dyDescent="0.25">
      <c r="A82" s="432" t="s">
        <v>448</v>
      </c>
      <c r="B82" s="115"/>
      <c r="E82" s="691">
        <v>0</v>
      </c>
      <c r="F82" s="572">
        <f t="shared" si="12"/>
        <v>0</v>
      </c>
      <c r="G82" s="572">
        <f t="shared" ref="G82:G96" si="14">+E82+F82</f>
        <v>0</v>
      </c>
      <c r="J82" s="286"/>
      <c r="L82" s="148"/>
      <c r="Y82" s="148">
        <f t="shared" si="13"/>
        <v>0</v>
      </c>
    </row>
    <row r="83" spans="1:25" ht="13.5" thickBot="1" x14ac:dyDescent="0.25">
      <c r="A83" s="432" t="s">
        <v>359</v>
      </c>
      <c r="B83" s="167"/>
      <c r="C83" s="535"/>
      <c r="D83" s="535"/>
      <c r="E83" s="692">
        <v>0</v>
      </c>
      <c r="F83" s="572">
        <f t="shared" si="12"/>
        <v>0</v>
      </c>
      <c r="G83" s="572">
        <f t="shared" si="14"/>
        <v>0</v>
      </c>
      <c r="H83" s="535"/>
      <c r="I83" s="535"/>
      <c r="J83" s="536"/>
      <c r="X83" s="120">
        <f>+'2025 Construction'!G21</f>
        <v>0</v>
      </c>
      <c r="Y83" s="148">
        <f t="shared" si="13"/>
        <v>0</v>
      </c>
    </row>
    <row r="84" spans="1:25" x14ac:dyDescent="0.2">
      <c r="A84" s="432" t="s">
        <v>360</v>
      </c>
      <c r="E84" s="692">
        <v>0</v>
      </c>
      <c r="F84" s="572">
        <f t="shared" si="12"/>
        <v>50700</v>
      </c>
      <c r="G84" s="572">
        <f t="shared" si="14"/>
        <v>50700</v>
      </c>
      <c r="X84" s="120">
        <f>+'2025 Construction'!G22</f>
        <v>50726.61</v>
      </c>
      <c r="Y84" s="148">
        <f t="shared" si="13"/>
        <v>50726.61</v>
      </c>
    </row>
    <row r="85" spans="1:25" x14ac:dyDescent="0.2">
      <c r="A85" s="432" t="s">
        <v>361</v>
      </c>
      <c r="E85" s="692">
        <v>60000</v>
      </c>
      <c r="F85" s="572">
        <f t="shared" si="12"/>
        <v>-55700</v>
      </c>
      <c r="G85" s="572">
        <f t="shared" si="14"/>
        <v>4300</v>
      </c>
      <c r="X85" s="120">
        <f>+'2025 Construction'!G23</f>
        <v>4280</v>
      </c>
      <c r="Y85" s="148">
        <f t="shared" si="13"/>
        <v>-55720</v>
      </c>
    </row>
    <row r="86" spans="1:25" x14ac:dyDescent="0.2">
      <c r="A86" s="432" t="s">
        <v>440</v>
      </c>
      <c r="E86" s="692"/>
      <c r="F86" s="572">
        <f t="shared" si="12"/>
        <v>0</v>
      </c>
      <c r="G86" s="572">
        <f t="shared" si="14"/>
        <v>0</v>
      </c>
      <c r="X86" s="120">
        <f>+'2025 Construction'!G24</f>
        <v>0</v>
      </c>
      <c r="Y86" s="148">
        <f t="shared" si="13"/>
        <v>0</v>
      </c>
    </row>
    <row r="87" spans="1:25" x14ac:dyDescent="0.2">
      <c r="A87" s="432" t="s">
        <v>363</v>
      </c>
      <c r="E87" s="692"/>
      <c r="F87" s="572">
        <f t="shared" si="12"/>
        <v>0</v>
      </c>
      <c r="G87" s="572">
        <f t="shared" si="14"/>
        <v>0</v>
      </c>
      <c r="Y87" s="148">
        <f t="shared" si="13"/>
        <v>0</v>
      </c>
    </row>
    <row r="88" spans="1:25" x14ac:dyDescent="0.2">
      <c r="A88" s="432" t="s">
        <v>454</v>
      </c>
      <c r="E88" s="692">
        <v>2100000</v>
      </c>
      <c r="F88" s="572">
        <f t="shared" si="12"/>
        <v>-1934600</v>
      </c>
      <c r="G88" s="572">
        <f t="shared" si="14"/>
        <v>165400</v>
      </c>
      <c r="X88" s="120">
        <f>+'2025 Construction'!G25</f>
        <v>165400.47999999998</v>
      </c>
      <c r="Y88" s="148">
        <f t="shared" si="13"/>
        <v>-1934599.52</v>
      </c>
    </row>
    <row r="89" spans="1:25" x14ac:dyDescent="0.2">
      <c r="A89" s="432" t="s">
        <v>364</v>
      </c>
      <c r="E89" s="692"/>
      <c r="F89" s="572">
        <f t="shared" si="12"/>
        <v>0</v>
      </c>
      <c r="G89" s="572">
        <f t="shared" si="14"/>
        <v>0</v>
      </c>
      <c r="X89" s="120">
        <f>+'2025 Construction'!G26</f>
        <v>0</v>
      </c>
      <c r="Y89" s="148">
        <f t="shared" si="13"/>
        <v>0</v>
      </c>
    </row>
    <row r="90" spans="1:25" x14ac:dyDescent="0.2">
      <c r="A90" s="432" t="s">
        <v>453</v>
      </c>
      <c r="E90" s="692"/>
      <c r="F90" s="572">
        <f t="shared" si="12"/>
        <v>0</v>
      </c>
      <c r="G90" s="572">
        <f t="shared" si="14"/>
        <v>0</v>
      </c>
      <c r="X90" s="120">
        <f>+'2025 Construction'!G27</f>
        <v>0</v>
      </c>
      <c r="Y90" s="148">
        <f t="shared" si="13"/>
        <v>0</v>
      </c>
    </row>
    <row r="91" spans="1:25" x14ac:dyDescent="0.2">
      <c r="A91" s="432" t="s">
        <v>366</v>
      </c>
      <c r="E91" s="692">
        <v>12000000</v>
      </c>
      <c r="F91" s="572">
        <f t="shared" si="12"/>
        <v>-1870400</v>
      </c>
      <c r="G91" s="572">
        <f t="shared" si="14"/>
        <v>10129600</v>
      </c>
      <c r="X91" s="120">
        <f>+'2025 Construction'!G28</f>
        <v>10129565.225</v>
      </c>
      <c r="Y91" s="148">
        <f t="shared" si="13"/>
        <v>-1870434.7750000004</v>
      </c>
    </row>
    <row r="92" spans="1:25" x14ac:dyDescent="0.2">
      <c r="A92" s="432" t="s">
        <v>367</v>
      </c>
      <c r="E92" s="692">
        <v>800000</v>
      </c>
      <c r="F92" s="572">
        <f t="shared" si="12"/>
        <v>-280500</v>
      </c>
      <c r="G92" s="572">
        <f t="shared" si="14"/>
        <v>519500</v>
      </c>
      <c r="X92" s="120">
        <f>+'2025 Construction'!G29</f>
        <v>519485.424</v>
      </c>
      <c r="Y92" s="148">
        <f t="shared" si="13"/>
        <v>-280514.576</v>
      </c>
    </row>
    <row r="93" spans="1:25" x14ac:dyDescent="0.2">
      <c r="A93" s="432" t="s">
        <v>450</v>
      </c>
      <c r="E93" s="692">
        <v>20000</v>
      </c>
      <c r="F93" s="572">
        <f t="shared" si="12"/>
        <v>-20000</v>
      </c>
      <c r="G93" s="572">
        <f t="shared" si="14"/>
        <v>0</v>
      </c>
      <c r="X93" s="120">
        <f>+'2025 Construction'!G30</f>
        <v>0</v>
      </c>
      <c r="Y93" s="148">
        <f t="shared" si="13"/>
        <v>-20000</v>
      </c>
    </row>
    <row r="94" spans="1:25" x14ac:dyDescent="0.2">
      <c r="A94" s="432" t="s">
        <v>438</v>
      </c>
      <c r="E94" s="577">
        <v>0</v>
      </c>
      <c r="F94" s="572">
        <f t="shared" si="12"/>
        <v>0</v>
      </c>
      <c r="G94" s="572">
        <f t="shared" si="14"/>
        <v>0</v>
      </c>
      <c r="X94" s="120">
        <f>+'2025 Construction'!G31</f>
        <v>0</v>
      </c>
      <c r="Y94" s="148">
        <f t="shared" si="13"/>
        <v>0</v>
      </c>
    </row>
    <row r="95" spans="1:25" x14ac:dyDescent="0.2">
      <c r="A95" s="432" t="s">
        <v>449</v>
      </c>
      <c r="E95" s="577">
        <v>0</v>
      </c>
      <c r="F95" s="572">
        <f t="shared" si="12"/>
        <v>0</v>
      </c>
      <c r="G95" s="572">
        <f t="shared" si="14"/>
        <v>0</v>
      </c>
      <c r="X95" s="120">
        <f>+'2025 Construction'!G32</f>
        <v>0</v>
      </c>
      <c r="Y95" s="148">
        <f t="shared" si="13"/>
        <v>0</v>
      </c>
    </row>
    <row r="96" spans="1:25" ht="13.5" thickBot="1" x14ac:dyDescent="0.25">
      <c r="A96" s="578" t="s">
        <v>439</v>
      </c>
      <c r="E96" s="693">
        <v>0</v>
      </c>
      <c r="F96" s="572">
        <f t="shared" si="12"/>
        <v>0</v>
      </c>
      <c r="G96" s="572">
        <f t="shared" si="14"/>
        <v>0</v>
      </c>
      <c r="X96" s="120">
        <f>+'2025 Construction'!G33</f>
        <v>0</v>
      </c>
      <c r="Y96" s="148">
        <f t="shared" si="13"/>
        <v>0</v>
      </c>
    </row>
    <row r="97" spans="1:7" x14ac:dyDescent="0.2">
      <c r="A97" s="511"/>
      <c r="E97" s="612"/>
      <c r="F97" s="612"/>
      <c r="G97" s="612"/>
    </row>
    <row r="98" spans="1:7" ht="15.75" x14ac:dyDescent="0.25">
      <c r="A98" s="324" t="s">
        <v>14</v>
      </c>
      <c r="E98" s="653">
        <f>SUM(E81:E96)</f>
        <v>15040000</v>
      </c>
      <c r="F98" s="653">
        <f>SUM(F81:F96)</f>
        <v>-4170500</v>
      </c>
      <c r="G98" s="653">
        <f>SUM(G81:G96)</f>
        <v>10869500</v>
      </c>
    </row>
    <row r="99" spans="1:7" ht="15.75" x14ac:dyDescent="0.25">
      <c r="A99" s="324" t="s">
        <v>452</v>
      </c>
      <c r="E99" s="653">
        <f>+E100-E98</f>
        <v>-12879000</v>
      </c>
      <c r="F99" s="653">
        <f>+F100-F98</f>
        <v>9864400</v>
      </c>
      <c r="G99" s="653">
        <f>+G100-G98</f>
        <v>-3014600</v>
      </c>
    </row>
    <row r="100" spans="1:7" ht="16.5" thickBot="1" x14ac:dyDescent="0.3">
      <c r="A100" s="498" t="s">
        <v>64</v>
      </c>
      <c r="E100" s="657">
        <f>+E77</f>
        <v>2161000</v>
      </c>
      <c r="F100" s="657">
        <f>+F77</f>
        <v>5693900</v>
      </c>
      <c r="G100" s="657">
        <f>+G77</f>
        <v>7854900</v>
      </c>
    </row>
    <row r="101" spans="1:7" ht="16.5" thickBot="1" x14ac:dyDescent="0.3">
      <c r="A101" s="334" t="s">
        <v>59</v>
      </c>
      <c r="E101" s="650">
        <f>+E100-E98-E99</f>
        <v>0</v>
      </c>
      <c r="F101" s="650">
        <f>+F100-F98-F99</f>
        <v>0</v>
      </c>
      <c r="G101" s="650">
        <f>+G100-G98-G99</f>
        <v>0</v>
      </c>
    </row>
  </sheetData>
  <mergeCells count="5">
    <mergeCell ref="A1:J1"/>
    <mergeCell ref="A2:J2"/>
    <mergeCell ref="A3:J3"/>
    <mergeCell ref="A4:J4"/>
    <mergeCell ref="E68:G68"/>
  </mergeCells>
  <printOptions horizontalCentered="1"/>
  <pageMargins left="0.4" right="0.2" top="0.6" bottom="0.5" header="0.3" footer="0.3"/>
  <pageSetup scale="74" fitToWidth="2" fitToHeight="3" orientation="portrait" r:id="rId1"/>
  <rowBreaks count="1" manualBreakCount="1">
    <brk id="67" max="10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CFC62-D8AD-496F-94F7-8F8567654A55}">
  <sheetPr codeName="Sheet1"/>
  <dimension ref="A1:Q160"/>
  <sheetViews>
    <sheetView zoomScale="170" zoomScaleNormal="170" workbookViewId="0">
      <pane xSplit="8" ySplit="2" topLeftCell="I66" activePane="bottomRight" state="frozenSplit"/>
      <selection activeCell="I34" sqref="I34"/>
      <selection pane="topRight" activeCell="I34" sqref="I34"/>
      <selection pane="bottomLeft" activeCell="I34" sqref="I34"/>
      <selection pane="bottomRight" activeCell="O71" sqref="O71"/>
    </sheetView>
  </sheetViews>
  <sheetFormatPr defaultRowHeight="15" x14ac:dyDescent="0.25"/>
  <cols>
    <col min="1" max="7" width="3" style="644" customWidth="1"/>
    <col min="8" max="8" width="38.5703125" style="644" customWidth="1"/>
    <col min="9" max="11" width="10.5703125" style="630" bestFit="1" customWidth="1"/>
    <col min="12" max="12" width="9.28515625" style="630" bestFit="1" customWidth="1"/>
    <col min="13" max="13" width="9.140625" style="630"/>
    <col min="14" max="14" width="10.5703125" style="630" bestFit="1" customWidth="1"/>
    <col min="15" max="15" width="10.85546875" style="630" bestFit="1" customWidth="1"/>
    <col min="16" max="16384" width="9.140625" style="630"/>
  </cols>
  <sheetData>
    <row r="1" spans="1:17" ht="15.75" thickBot="1" x14ac:dyDescent="0.3">
      <c r="A1" s="628"/>
      <c r="B1" s="628"/>
      <c r="C1" s="628"/>
      <c r="D1" s="628"/>
      <c r="E1" s="628"/>
      <c r="F1" s="628"/>
      <c r="G1" s="628"/>
      <c r="H1" s="628"/>
      <c r="I1" s="659" t="s">
        <v>501</v>
      </c>
      <c r="J1" s="629"/>
      <c r="K1" s="629"/>
      <c r="L1" s="629"/>
      <c r="N1" s="659"/>
      <c r="O1" s="659"/>
    </row>
    <row r="2" spans="1:17" s="633" customFormat="1" ht="16.5" thickTop="1" thickBot="1" x14ac:dyDescent="0.3">
      <c r="A2" s="631"/>
      <c r="B2" s="631"/>
      <c r="C2" s="631"/>
      <c r="D2" s="631"/>
      <c r="E2" s="631"/>
      <c r="F2" s="631"/>
      <c r="G2" s="631"/>
      <c r="H2" s="631"/>
      <c r="I2" s="681" t="s">
        <v>523</v>
      </c>
      <c r="J2" s="681" t="s">
        <v>460</v>
      </c>
      <c r="K2" s="632" t="s">
        <v>461</v>
      </c>
      <c r="L2" s="632" t="s">
        <v>462</v>
      </c>
      <c r="N2" s="632"/>
      <c r="O2" s="632" t="s">
        <v>500</v>
      </c>
    </row>
    <row r="3" spans="1:17" ht="15.75" thickTop="1" x14ac:dyDescent="0.25">
      <c r="A3" s="628"/>
      <c r="B3" s="628" t="s">
        <v>96</v>
      </c>
      <c r="C3" s="628"/>
      <c r="D3" s="628"/>
      <c r="E3" s="628"/>
      <c r="F3" s="628"/>
      <c r="G3" s="628"/>
      <c r="H3" s="628"/>
      <c r="I3" s="634"/>
      <c r="J3" s="634"/>
      <c r="K3" s="634"/>
      <c r="L3" s="635"/>
      <c r="N3" s="634"/>
      <c r="O3" s="634"/>
    </row>
    <row r="4" spans="1:17" x14ac:dyDescent="0.25">
      <c r="A4" s="628"/>
      <c r="B4" s="628"/>
      <c r="C4" s="628"/>
      <c r="D4" s="628" t="s">
        <v>74</v>
      </c>
      <c r="E4" s="628"/>
      <c r="F4" s="628"/>
      <c r="G4" s="628"/>
      <c r="H4" s="628"/>
      <c r="I4" s="634"/>
      <c r="J4" s="634"/>
      <c r="K4" s="634"/>
      <c r="L4" s="635"/>
      <c r="N4" s="634"/>
      <c r="O4" s="634"/>
    </row>
    <row r="5" spans="1:17" x14ac:dyDescent="0.25">
      <c r="A5" s="628"/>
      <c r="B5" s="628"/>
      <c r="C5" s="628"/>
      <c r="D5" s="628"/>
      <c r="E5" s="628" t="s">
        <v>100</v>
      </c>
      <c r="F5" s="628"/>
      <c r="G5" s="628"/>
      <c r="H5" s="628"/>
      <c r="I5" s="678">
        <v>671163.86</v>
      </c>
      <c r="J5" s="678">
        <v>823222.03</v>
      </c>
      <c r="K5" s="634">
        <f>ROUND((I5-J5),5)</f>
        <v>-152058.17000000001</v>
      </c>
      <c r="L5" s="635">
        <f>ROUND(IF(I5=0, IF(J5=0, 0, SIGN(-J5)), IF(J5=0, SIGN(I5), (I5-J5)/ABS(J5))),5)</f>
        <v>-0.18471000000000001</v>
      </c>
      <c r="N5" s="634">
        <f>69500</f>
        <v>69500</v>
      </c>
      <c r="O5" s="634">
        <f>+I5+(N5*3)</f>
        <v>879663.86</v>
      </c>
      <c r="Q5" s="630">
        <f>+N5/50</f>
        <v>1390</v>
      </c>
    </row>
    <row r="6" spans="1:17" x14ac:dyDescent="0.25">
      <c r="A6" s="628"/>
      <c r="B6" s="628"/>
      <c r="C6" s="628"/>
      <c r="D6" s="628"/>
      <c r="E6" s="628" t="s">
        <v>101</v>
      </c>
      <c r="F6" s="628"/>
      <c r="G6" s="628"/>
      <c r="H6" s="628"/>
      <c r="I6" s="678">
        <v>2887.51</v>
      </c>
      <c r="J6" s="678">
        <v>2741.78</v>
      </c>
      <c r="K6" s="634">
        <f>ROUND((I6-J6),5)</f>
        <v>145.72999999999999</v>
      </c>
      <c r="L6" s="635">
        <f>ROUND(IF(I6=0, IF(J6=0, 0, SIGN(-J6)), IF(J6=0, SIGN(I6), (I6-J6)/ABS(J6))),5)</f>
        <v>5.3150000000000003E-2</v>
      </c>
      <c r="N6" s="634"/>
      <c r="O6" s="634">
        <f t="shared" ref="O6:O77" si="0">+I6+(N6*2)</f>
        <v>2887.51</v>
      </c>
    </row>
    <row r="7" spans="1:17" x14ac:dyDescent="0.25">
      <c r="A7" s="628"/>
      <c r="B7" s="628"/>
      <c r="C7" s="628"/>
      <c r="D7" s="628"/>
      <c r="E7" s="628" t="s">
        <v>463</v>
      </c>
      <c r="F7" s="628"/>
      <c r="G7" s="628"/>
      <c r="H7" s="628"/>
      <c r="I7" s="678"/>
      <c r="J7" s="678"/>
      <c r="K7" s="634"/>
      <c r="L7" s="635"/>
      <c r="N7" s="634"/>
      <c r="O7" s="634"/>
    </row>
    <row r="8" spans="1:17" x14ac:dyDescent="0.25">
      <c r="A8" s="628"/>
      <c r="B8" s="628"/>
      <c r="C8" s="628"/>
      <c r="D8" s="628"/>
      <c r="E8" s="628"/>
      <c r="F8" s="628" t="s">
        <v>99</v>
      </c>
      <c r="G8" s="628"/>
      <c r="H8" s="628"/>
      <c r="I8" s="678">
        <v>9090</v>
      </c>
      <c r="J8" s="678">
        <v>9920</v>
      </c>
      <c r="K8" s="634">
        <f>ROUND((I8-J8),5)</f>
        <v>-830</v>
      </c>
      <c r="L8" s="635">
        <f>ROUND(IF(I8=0, IF(J8=0, 0, SIGN(-J8)), IF(J8=0, SIGN(I8), (I8-J8)/ABS(J8))),5)</f>
        <v>-8.3669999999999994E-2</v>
      </c>
      <c r="N8" s="634"/>
      <c r="O8" s="634">
        <f t="shared" si="0"/>
        <v>9090</v>
      </c>
    </row>
    <row r="9" spans="1:17" x14ac:dyDescent="0.25">
      <c r="A9" s="628"/>
      <c r="B9" s="628"/>
      <c r="C9" s="628"/>
      <c r="D9" s="628"/>
      <c r="E9" s="628"/>
      <c r="F9" s="628" t="s">
        <v>98</v>
      </c>
      <c r="G9" s="628"/>
      <c r="H9" s="628"/>
      <c r="I9" s="678">
        <v>5000</v>
      </c>
      <c r="J9" s="678">
        <v>25812.59</v>
      </c>
      <c r="K9" s="634">
        <f>ROUND((I9-J9),5)</f>
        <v>-20812.59</v>
      </c>
      <c r="L9" s="635">
        <f>ROUND(IF(I9=0, IF(J9=0, 0, SIGN(-J9)), IF(J9=0, SIGN(I9), (I9-J9)/ABS(J9))),5)</f>
        <v>-0.80630000000000002</v>
      </c>
      <c r="N9" s="634"/>
      <c r="O9" s="634">
        <f t="shared" si="0"/>
        <v>5000</v>
      </c>
    </row>
    <row r="10" spans="1:17" x14ac:dyDescent="0.25">
      <c r="A10" s="628"/>
      <c r="B10" s="628"/>
      <c r="C10" s="628"/>
      <c r="D10" s="628"/>
      <c r="E10" s="628"/>
      <c r="F10" s="628" t="s">
        <v>464</v>
      </c>
      <c r="G10" s="628"/>
      <c r="H10" s="628"/>
      <c r="I10" s="678">
        <v>27700</v>
      </c>
      <c r="J10" s="678">
        <v>41700</v>
      </c>
      <c r="K10" s="634">
        <f>ROUND((I10-J10),5)</f>
        <v>-14000</v>
      </c>
      <c r="L10" s="635">
        <f>ROUND(IF(I10=0, IF(J10=0, 0, SIGN(-J10)), IF(J10=0, SIGN(I10), (I10-J10)/ABS(J10))),5)</f>
        <v>-0.33572999999999997</v>
      </c>
      <c r="N10" s="634"/>
      <c r="O10" s="634">
        <f t="shared" si="0"/>
        <v>27700</v>
      </c>
    </row>
    <row r="11" spans="1:17" ht="15.75" thickBot="1" x14ac:dyDescent="0.3">
      <c r="A11" s="628"/>
      <c r="B11" s="628"/>
      <c r="C11" s="628"/>
      <c r="D11" s="628"/>
      <c r="E11" s="628"/>
      <c r="F11" s="628" t="s">
        <v>465</v>
      </c>
      <c r="G11" s="628"/>
      <c r="H11" s="628"/>
      <c r="I11" s="679">
        <v>9200</v>
      </c>
      <c r="J11" s="679">
        <v>6900</v>
      </c>
      <c r="K11" s="636">
        <f>ROUND((I11-J11),5)</f>
        <v>2300</v>
      </c>
      <c r="L11" s="637">
        <f>ROUND(IF(I11=0, IF(J11=0, 0, SIGN(-J11)), IF(J11=0, SIGN(I11), (I11-J11)/ABS(J11))),5)</f>
        <v>0.33333000000000002</v>
      </c>
      <c r="N11" s="636"/>
      <c r="O11" s="636">
        <f t="shared" si="0"/>
        <v>9200</v>
      </c>
    </row>
    <row r="12" spans="1:17" x14ac:dyDescent="0.25">
      <c r="A12" s="628"/>
      <c r="B12" s="628"/>
      <c r="C12" s="628"/>
      <c r="D12" s="628"/>
      <c r="E12" s="628" t="s">
        <v>466</v>
      </c>
      <c r="F12" s="628"/>
      <c r="G12" s="628"/>
      <c r="H12" s="628"/>
      <c r="I12" s="634">
        <f>ROUND(SUM(I7:I11),5)</f>
        <v>50990</v>
      </c>
      <c r="J12" s="678">
        <f>ROUND(SUM(J7:J11),5)</f>
        <v>84332.59</v>
      </c>
      <c r="K12" s="634">
        <f>ROUND((I12-J12),5)</f>
        <v>-33342.589999999997</v>
      </c>
      <c r="L12" s="635">
        <f>ROUND(IF(I12=0, IF(J12=0, 0, SIGN(-J12)), IF(J12=0, SIGN(I12), (I12-J12)/ABS(J12))),5)</f>
        <v>-0.39537</v>
      </c>
      <c r="N12" s="634">
        <f>ROUND(SUM(N7:N11),5)</f>
        <v>0</v>
      </c>
      <c r="O12" s="634">
        <f>ROUND(SUM(O7:O11),5)</f>
        <v>50990</v>
      </c>
    </row>
    <row r="13" spans="1:17" x14ac:dyDescent="0.25">
      <c r="A13" s="628"/>
      <c r="B13" s="628"/>
      <c r="C13" s="628"/>
      <c r="D13" s="628"/>
      <c r="E13" s="628" t="s">
        <v>104</v>
      </c>
      <c r="F13" s="628"/>
      <c r="G13" s="628"/>
      <c r="H13" s="628"/>
      <c r="I13" s="634"/>
      <c r="J13" s="634"/>
      <c r="K13" s="634"/>
      <c r="L13" s="635"/>
      <c r="N13" s="634"/>
      <c r="O13" s="634"/>
    </row>
    <row r="14" spans="1:17" x14ac:dyDescent="0.25">
      <c r="A14" s="628"/>
      <c r="B14" s="628"/>
      <c r="C14" s="628"/>
      <c r="D14" s="628"/>
      <c r="E14" s="628"/>
      <c r="F14" s="628" t="s">
        <v>105</v>
      </c>
      <c r="G14" s="628"/>
      <c r="H14" s="628"/>
      <c r="I14" s="678">
        <f>5870.09+167.31</f>
        <v>6037.4000000000005</v>
      </c>
      <c r="J14" s="678">
        <v>66146.03</v>
      </c>
      <c r="K14" s="634">
        <f>ROUND((I14-J14),5)</f>
        <v>-60108.63</v>
      </c>
      <c r="L14" s="635">
        <f>ROUND(IF(I14=0, IF(J14=0, 0, SIGN(-J14)), IF(J14=0, SIGN(I14), (I14-J14)/ABS(J14))),5)</f>
        <v>-0.90873000000000004</v>
      </c>
      <c r="N14" s="634">
        <f>97300</f>
        <v>97300</v>
      </c>
      <c r="O14" s="634">
        <f>+I14+(N14)</f>
        <v>103337.4</v>
      </c>
    </row>
    <row r="15" spans="1:17" x14ac:dyDescent="0.25">
      <c r="A15" s="628"/>
      <c r="B15" s="628"/>
      <c r="C15" s="628"/>
      <c r="D15" s="628"/>
      <c r="E15" s="628"/>
      <c r="F15" s="628" t="s">
        <v>106</v>
      </c>
      <c r="G15" s="628"/>
      <c r="H15" s="628"/>
      <c r="I15" s="678">
        <v>2458.06</v>
      </c>
      <c r="J15" s="678">
        <v>1322.54</v>
      </c>
      <c r="K15" s="634">
        <f>ROUND((I15-J15),5)</f>
        <v>1135.52</v>
      </c>
      <c r="L15" s="635">
        <f>ROUND(IF(I15=0, IF(J15=0, 0, SIGN(-J15)), IF(J15=0, SIGN(I15), (I15-J15)/ABS(J15))),5)</f>
        <v>0.85858999999999996</v>
      </c>
      <c r="N15" s="634">
        <v>18160</v>
      </c>
      <c r="O15" s="634">
        <f>+I15+(N15)</f>
        <v>20618.060000000001</v>
      </c>
    </row>
    <row r="16" spans="1:17" ht="15.75" thickBot="1" x14ac:dyDescent="0.3">
      <c r="A16" s="628"/>
      <c r="B16" s="628"/>
      <c r="C16" s="628"/>
      <c r="D16" s="628"/>
      <c r="E16" s="628"/>
      <c r="F16" s="628" t="s">
        <v>107</v>
      </c>
      <c r="G16" s="628"/>
      <c r="H16" s="628"/>
      <c r="I16" s="636">
        <v>2670.55</v>
      </c>
      <c r="J16" s="636">
        <v>3832.39</v>
      </c>
      <c r="K16" s="636">
        <f>ROUND((I16-J16),5)</f>
        <v>-1161.8399999999999</v>
      </c>
      <c r="L16" s="637">
        <f>ROUND(IF(I16=0, IF(J16=0, 0, SIGN(-J16)), IF(J16=0, SIGN(I16), (I16-J16)/ABS(J16))),5)</f>
        <v>-0.30315999999999999</v>
      </c>
      <c r="N16" s="636"/>
      <c r="O16" s="636">
        <f t="shared" si="0"/>
        <v>2670.55</v>
      </c>
    </row>
    <row r="17" spans="1:15" x14ac:dyDescent="0.25">
      <c r="A17" s="628"/>
      <c r="B17" s="628"/>
      <c r="C17" s="628"/>
      <c r="D17" s="628"/>
      <c r="E17" s="628" t="s">
        <v>109</v>
      </c>
      <c r="F17" s="628"/>
      <c r="G17" s="628"/>
      <c r="H17" s="628"/>
      <c r="I17" s="634">
        <f>ROUND(SUM(I13:I16),5)</f>
        <v>11166.01</v>
      </c>
      <c r="J17" s="634">
        <f>ROUND(SUM(J13:J16),5)</f>
        <v>71300.960000000006</v>
      </c>
      <c r="K17" s="634">
        <f>ROUND((I17-J17),5)</f>
        <v>-60134.95</v>
      </c>
      <c r="L17" s="635">
        <f>ROUND(IF(I17=0, IF(J17=0, 0, SIGN(-J17)), IF(J17=0, SIGN(I17), (I17-J17)/ABS(J17))),5)</f>
        <v>-0.84340000000000004</v>
      </c>
      <c r="N17" s="634">
        <f>ROUND(SUM(N13:N16),5)</f>
        <v>115460</v>
      </c>
      <c r="O17" s="634">
        <f>ROUND(SUM(O13:O16),5)</f>
        <v>126626.01</v>
      </c>
    </row>
    <row r="18" spans="1:15" x14ac:dyDescent="0.25">
      <c r="A18" s="628"/>
      <c r="B18" s="628"/>
      <c r="C18" s="628"/>
      <c r="D18" s="628"/>
      <c r="E18" s="628" t="s">
        <v>103</v>
      </c>
      <c r="F18" s="628"/>
      <c r="G18" s="628"/>
      <c r="H18" s="628"/>
      <c r="I18" s="634">
        <v>5128</v>
      </c>
      <c r="J18" s="634">
        <v>0</v>
      </c>
      <c r="K18" s="634">
        <f>ROUND((I18-J18),5)</f>
        <v>5128</v>
      </c>
      <c r="L18" s="635">
        <f>ROUND(IF(I18=0, IF(J18=0, 0, SIGN(-J18)), IF(J18=0, SIGN(I18), (I18-J18)/ABS(J18))),5)</f>
        <v>1</v>
      </c>
      <c r="N18" s="634"/>
      <c r="O18" s="634"/>
    </row>
    <row r="19" spans="1:15" x14ac:dyDescent="0.25">
      <c r="A19" s="628"/>
      <c r="B19" s="628"/>
      <c r="C19" s="628"/>
      <c r="D19" s="628"/>
      <c r="E19" s="628" t="s">
        <v>110</v>
      </c>
      <c r="F19" s="628"/>
      <c r="G19" s="628"/>
      <c r="H19" s="628"/>
      <c r="I19" s="634"/>
      <c r="J19" s="634"/>
      <c r="K19" s="634"/>
      <c r="L19" s="635"/>
      <c r="N19" s="634"/>
      <c r="O19" s="634"/>
    </row>
    <row r="20" spans="1:15" x14ac:dyDescent="0.25">
      <c r="A20" s="628"/>
      <c r="B20" s="628"/>
      <c r="C20" s="628"/>
      <c r="D20" s="628"/>
      <c r="E20" s="628"/>
      <c r="F20" s="628" t="s">
        <v>467</v>
      </c>
      <c r="G20" s="628"/>
      <c r="H20" s="628"/>
      <c r="I20" s="678">
        <v>284488.44</v>
      </c>
      <c r="J20" s="678">
        <v>446856.82</v>
      </c>
      <c r="K20" s="634">
        <f t="shared" ref="K20:K28" si="1">ROUND((I20-J20),5)</f>
        <v>-162368.38</v>
      </c>
      <c r="L20" s="635">
        <f t="shared" ref="L20:L28" si="2">ROUND(IF(I20=0, IF(J20=0, 0, SIGN(-J20)), IF(J20=0, SIGN(I20), (I20-J20)/ABS(J20))),5)</f>
        <v>-0.36336000000000002</v>
      </c>
      <c r="N20" s="634">
        <f t="shared" ref="N20:N25" si="3">+I20/10</f>
        <v>28448.844000000001</v>
      </c>
      <c r="O20" s="634">
        <f t="shared" si="0"/>
        <v>341386.12800000003</v>
      </c>
    </row>
    <row r="21" spans="1:15" x14ac:dyDescent="0.25">
      <c r="A21" s="628"/>
      <c r="B21" s="628"/>
      <c r="C21" s="628"/>
      <c r="D21" s="628"/>
      <c r="E21" s="628"/>
      <c r="F21" s="680" t="s">
        <v>111</v>
      </c>
      <c r="G21" s="628"/>
      <c r="H21" s="628"/>
      <c r="I21" s="678">
        <v>5185.83</v>
      </c>
      <c r="J21" s="678">
        <v>0</v>
      </c>
      <c r="K21" s="634">
        <f t="shared" ref="K21" si="4">ROUND((I21-J21),5)</f>
        <v>5185.83</v>
      </c>
      <c r="L21" s="635">
        <f t="shared" ref="L21" si="5">ROUND(IF(I21=0, IF(J21=0, 0, SIGN(-J21)), IF(J21=0, SIGN(I21), (I21-J21)/ABS(J21))),5)</f>
        <v>1</v>
      </c>
      <c r="N21" s="634">
        <f t="shared" si="3"/>
        <v>518.58299999999997</v>
      </c>
      <c r="O21" s="634">
        <f t="shared" ref="O21" si="6">+I21+(N21*2)</f>
        <v>6222.9960000000001</v>
      </c>
    </row>
    <row r="22" spans="1:15" x14ac:dyDescent="0.25">
      <c r="A22" s="628"/>
      <c r="B22" s="628"/>
      <c r="C22" s="628"/>
      <c r="D22" s="628"/>
      <c r="E22" s="628"/>
      <c r="F22" s="628" t="s">
        <v>112</v>
      </c>
      <c r="G22" s="628"/>
      <c r="H22" s="628"/>
      <c r="I22" s="678">
        <v>15792.28</v>
      </c>
      <c r="J22" s="678">
        <v>32521.89</v>
      </c>
      <c r="K22" s="634">
        <f t="shared" si="1"/>
        <v>-16729.61</v>
      </c>
      <c r="L22" s="635">
        <f t="shared" si="2"/>
        <v>-0.51441000000000003</v>
      </c>
      <c r="N22" s="634">
        <f t="shared" si="3"/>
        <v>1579.2280000000001</v>
      </c>
      <c r="O22" s="634">
        <f t="shared" si="0"/>
        <v>18950.736000000001</v>
      </c>
    </row>
    <row r="23" spans="1:15" x14ac:dyDescent="0.25">
      <c r="A23" s="628"/>
      <c r="B23" s="628"/>
      <c r="C23" s="628"/>
      <c r="D23" s="628"/>
      <c r="E23" s="628"/>
      <c r="F23" s="628" t="s">
        <v>113</v>
      </c>
      <c r="G23" s="628"/>
      <c r="H23" s="628"/>
      <c r="I23" s="678">
        <v>7345.73</v>
      </c>
      <c r="J23" s="678">
        <v>8794.08</v>
      </c>
      <c r="K23" s="634">
        <f t="shared" si="1"/>
        <v>-1448.35</v>
      </c>
      <c r="L23" s="635">
        <f t="shared" si="2"/>
        <v>-0.16470000000000001</v>
      </c>
      <c r="N23" s="634">
        <f t="shared" si="3"/>
        <v>734.57299999999998</v>
      </c>
      <c r="O23" s="634">
        <f t="shared" si="0"/>
        <v>8814.8760000000002</v>
      </c>
    </row>
    <row r="24" spans="1:15" x14ac:dyDescent="0.25">
      <c r="A24" s="628"/>
      <c r="B24" s="628"/>
      <c r="C24" s="628"/>
      <c r="D24" s="628"/>
      <c r="E24" s="628"/>
      <c r="F24" s="628" t="s">
        <v>114</v>
      </c>
      <c r="G24" s="628"/>
      <c r="H24" s="628"/>
      <c r="I24" s="678">
        <v>53254.69</v>
      </c>
      <c r="J24" s="678">
        <v>80006.490000000005</v>
      </c>
      <c r="K24" s="634">
        <f t="shared" si="1"/>
        <v>-26751.8</v>
      </c>
      <c r="L24" s="635">
        <f t="shared" si="2"/>
        <v>-0.33437</v>
      </c>
      <c r="N24" s="634">
        <f t="shared" si="3"/>
        <v>5325.4690000000001</v>
      </c>
      <c r="O24" s="634">
        <f t="shared" si="0"/>
        <v>63905.628000000004</v>
      </c>
    </row>
    <row r="25" spans="1:15" ht="15.75" thickBot="1" x14ac:dyDescent="0.3">
      <c r="A25" s="628"/>
      <c r="B25" s="628"/>
      <c r="C25" s="628"/>
      <c r="D25" s="628"/>
      <c r="E25" s="628"/>
      <c r="F25" s="628" t="s">
        <v>468</v>
      </c>
      <c r="G25" s="628"/>
      <c r="H25" s="628"/>
      <c r="I25" s="678">
        <v>0</v>
      </c>
      <c r="J25" s="678">
        <v>99261.74</v>
      </c>
      <c r="K25" s="634">
        <f t="shared" si="1"/>
        <v>-99261.74</v>
      </c>
      <c r="L25" s="635">
        <f t="shared" si="2"/>
        <v>-1</v>
      </c>
      <c r="N25" s="634">
        <f t="shared" si="3"/>
        <v>0</v>
      </c>
      <c r="O25" s="634">
        <f t="shared" si="0"/>
        <v>0</v>
      </c>
    </row>
    <row r="26" spans="1:15" ht="15.75" thickBot="1" x14ac:dyDescent="0.3">
      <c r="A26" s="628"/>
      <c r="B26" s="628"/>
      <c r="C26" s="628"/>
      <c r="D26" s="628"/>
      <c r="E26" s="628" t="s">
        <v>115</v>
      </c>
      <c r="F26" s="628"/>
      <c r="G26" s="628"/>
      <c r="H26" s="628"/>
      <c r="I26" s="638">
        <f>ROUND(SUM(I19:I25),5)</f>
        <v>366066.97</v>
      </c>
      <c r="J26" s="638">
        <f>ROUND(SUM(J19:J25),5)</f>
        <v>667441.02</v>
      </c>
      <c r="K26" s="638">
        <f t="shared" si="1"/>
        <v>-301374.05</v>
      </c>
      <c r="L26" s="639">
        <f t="shared" si="2"/>
        <v>-0.45154</v>
      </c>
      <c r="N26" s="638">
        <f>ROUND(SUM(N19:N25),5)</f>
        <v>36606.697</v>
      </c>
      <c r="O26" s="638">
        <f>ROUND(SUM(O19:O25),5)</f>
        <v>439280.364</v>
      </c>
    </row>
    <row r="27" spans="1:15" ht="15.75" thickBot="1" x14ac:dyDescent="0.3">
      <c r="A27" s="628"/>
      <c r="B27" s="628"/>
      <c r="C27" s="628"/>
      <c r="D27" s="628" t="s">
        <v>116</v>
      </c>
      <c r="E27" s="628"/>
      <c r="F27" s="628"/>
      <c r="G27" s="628"/>
      <c r="H27" s="628"/>
      <c r="I27" s="640">
        <f>ROUND(SUM(I4:I6)+I12+SUM(I17:I18)+I26,5)</f>
        <v>1107402.3500000001</v>
      </c>
      <c r="J27" s="640">
        <f>ROUND(SUM(J4:J6)+J12+SUM(J17:J18)+J26,5)</f>
        <v>1649038.38</v>
      </c>
      <c r="K27" s="640">
        <f t="shared" si="1"/>
        <v>-541636.03</v>
      </c>
      <c r="L27" s="641">
        <f t="shared" si="2"/>
        <v>-0.32845999999999997</v>
      </c>
      <c r="N27" s="640">
        <f>ROUND(SUM(N4:N6)+N12+SUM(N17:N18)+N26,5)</f>
        <v>221566.69699999999</v>
      </c>
      <c r="O27" s="640">
        <f>ROUND(SUM(O4:O6)+O12+SUM(O17:O18)+O26,5)</f>
        <v>1499447.7439999999</v>
      </c>
    </row>
    <row r="28" spans="1:15" x14ac:dyDescent="0.25">
      <c r="A28" s="628"/>
      <c r="B28" s="628"/>
      <c r="C28" s="628" t="s">
        <v>117</v>
      </c>
      <c r="D28" s="628"/>
      <c r="E28" s="628"/>
      <c r="F28" s="628"/>
      <c r="G28" s="628"/>
      <c r="H28" s="628"/>
      <c r="I28" s="634">
        <f>I27</f>
        <v>1107402.3500000001</v>
      </c>
      <c r="J28" s="634">
        <f>J27</f>
        <v>1649038.38</v>
      </c>
      <c r="K28" s="634">
        <f t="shared" si="1"/>
        <v>-541636.03</v>
      </c>
      <c r="L28" s="635">
        <f t="shared" si="2"/>
        <v>-0.32845999999999997</v>
      </c>
      <c r="N28" s="634">
        <f>N27</f>
        <v>221566.69699999999</v>
      </c>
      <c r="O28" s="634">
        <f>O27</f>
        <v>1499447.7439999999</v>
      </c>
    </row>
    <row r="29" spans="1:15" x14ac:dyDescent="0.25">
      <c r="A29" s="628"/>
      <c r="B29" s="628"/>
      <c r="C29" s="628"/>
      <c r="D29" s="628" t="s">
        <v>118</v>
      </c>
      <c r="E29" s="628"/>
      <c r="F29" s="628"/>
      <c r="G29" s="628"/>
      <c r="H29" s="628"/>
      <c r="I29" s="634"/>
      <c r="J29" s="634"/>
      <c r="K29" s="634"/>
      <c r="L29" s="635"/>
      <c r="N29" s="634"/>
      <c r="O29" s="634"/>
    </row>
    <row r="30" spans="1:15" x14ac:dyDescent="0.25">
      <c r="A30" s="628"/>
      <c r="B30" s="628"/>
      <c r="C30" s="628"/>
      <c r="D30" s="628"/>
      <c r="E30" s="680" t="s">
        <v>516</v>
      </c>
      <c r="F30" s="680"/>
      <c r="G30" s="680"/>
      <c r="H30" s="628"/>
      <c r="I30" s="634"/>
      <c r="J30" s="678"/>
      <c r="K30" s="634"/>
      <c r="L30" s="635"/>
      <c r="N30" s="634"/>
      <c r="O30" s="634"/>
    </row>
    <row r="31" spans="1:15" x14ac:dyDescent="0.25">
      <c r="A31" s="628"/>
      <c r="B31" s="628"/>
      <c r="C31" s="628"/>
      <c r="D31" s="628"/>
      <c r="E31" s="680"/>
      <c r="F31" s="680" t="s">
        <v>517</v>
      </c>
      <c r="G31" s="680"/>
      <c r="H31" s="628"/>
      <c r="I31" s="678">
        <v>290111.12</v>
      </c>
      <c r="J31" s="678">
        <v>0</v>
      </c>
      <c r="K31" s="634">
        <f t="shared" ref="K31:K32" si="7">ROUND((I31-J31),5)</f>
        <v>290111.12</v>
      </c>
      <c r="L31" s="635">
        <f t="shared" ref="L31:L32" si="8">ROUND(IF(I31=0, IF(J31=0, 0, SIGN(-J31)), IF(J31=0, SIGN(I31), (I31-J31)/ABS(J31))),5)</f>
        <v>1</v>
      </c>
      <c r="N31" s="634">
        <v>0</v>
      </c>
      <c r="O31" s="634">
        <f t="shared" ref="O31:O32" si="9">+I31+(N31*2)</f>
        <v>290111.12</v>
      </c>
    </row>
    <row r="32" spans="1:15" x14ac:dyDescent="0.25">
      <c r="A32" s="628"/>
      <c r="B32" s="628"/>
      <c r="C32" s="628"/>
      <c r="D32" s="628"/>
      <c r="E32" s="680"/>
      <c r="F32" s="680" t="s">
        <v>518</v>
      </c>
      <c r="G32" s="680"/>
      <c r="H32" s="628"/>
      <c r="I32" s="678">
        <v>31306.84</v>
      </c>
      <c r="J32" s="678">
        <v>0</v>
      </c>
      <c r="K32" s="634">
        <f t="shared" si="7"/>
        <v>31306.84</v>
      </c>
      <c r="L32" s="635">
        <f t="shared" si="8"/>
        <v>1</v>
      </c>
      <c r="N32" s="634">
        <v>0</v>
      </c>
      <c r="O32" s="634">
        <f t="shared" si="9"/>
        <v>31306.84</v>
      </c>
    </row>
    <row r="33" spans="1:15" ht="15.75" thickBot="1" x14ac:dyDescent="0.3">
      <c r="A33" s="628"/>
      <c r="B33" s="628"/>
      <c r="C33" s="628"/>
      <c r="D33" s="628"/>
      <c r="E33" s="680"/>
      <c r="F33" s="680" t="s">
        <v>519</v>
      </c>
      <c r="G33" s="680"/>
      <c r="H33" s="628"/>
      <c r="I33" s="679">
        <v>0</v>
      </c>
      <c r="J33" s="679">
        <v>277920</v>
      </c>
      <c r="K33" s="679">
        <f t="shared" ref="K33" si="10">ROUND((I33-J33),5)</f>
        <v>-277920</v>
      </c>
      <c r="L33" s="679">
        <f t="shared" ref="L33" si="11">ROUND(IF(I33=0, IF(J33=0, 0, SIGN(-J33)), IF(J33=0, SIGN(I33), (I33-J33)/ABS(J33))),5)</f>
        <v>-1</v>
      </c>
      <c r="N33" s="679">
        <f>+I33/10</f>
        <v>0</v>
      </c>
      <c r="O33" s="679">
        <f t="shared" ref="O33" si="12">+I33+(N33*2)</f>
        <v>0</v>
      </c>
    </row>
    <row r="34" spans="1:15" x14ac:dyDescent="0.25">
      <c r="A34" s="628"/>
      <c r="B34" s="628"/>
      <c r="C34" s="628"/>
      <c r="D34" s="628"/>
      <c r="E34" s="680" t="s">
        <v>520</v>
      </c>
      <c r="F34" s="680"/>
      <c r="G34" s="680"/>
      <c r="H34" s="628"/>
      <c r="I34" s="678">
        <f>ROUND(SUM(I30:I33),5)</f>
        <v>321417.96000000002</v>
      </c>
      <c r="J34" s="678">
        <f>ROUND(SUM(J30:J33),5)</f>
        <v>277920</v>
      </c>
      <c r="K34" s="678">
        <f t="shared" ref="K34:L34" si="13">ROUND(SUM(K30:K33),5)</f>
        <v>43497.96</v>
      </c>
      <c r="L34" s="678">
        <f t="shared" si="13"/>
        <v>1</v>
      </c>
      <c r="N34" s="678">
        <f t="shared" ref="N34:O34" si="14">ROUND(SUM(N30:N33),5)</f>
        <v>0</v>
      </c>
      <c r="O34" s="678">
        <f t="shared" si="14"/>
        <v>321417.96000000002</v>
      </c>
    </row>
    <row r="35" spans="1:15" x14ac:dyDescent="0.25">
      <c r="A35" s="628"/>
      <c r="B35" s="628"/>
      <c r="C35" s="628"/>
      <c r="D35" s="628"/>
      <c r="E35" s="628"/>
      <c r="F35" s="628"/>
      <c r="G35" s="628"/>
      <c r="H35" s="628"/>
      <c r="I35" s="634"/>
      <c r="J35" s="634"/>
      <c r="K35" s="634"/>
      <c r="L35" s="635"/>
      <c r="N35" s="634"/>
      <c r="O35" s="634"/>
    </row>
    <row r="36" spans="1:15" x14ac:dyDescent="0.25">
      <c r="A36" s="628"/>
      <c r="B36" s="628"/>
      <c r="C36" s="628"/>
      <c r="D36" s="628"/>
      <c r="E36" s="628" t="s">
        <v>119</v>
      </c>
      <c r="F36" s="628"/>
      <c r="G36" s="628"/>
      <c r="H36" s="628"/>
      <c r="I36" s="634"/>
      <c r="J36" s="634"/>
      <c r="K36" s="634"/>
      <c r="L36" s="635"/>
      <c r="N36" s="634"/>
      <c r="O36" s="634"/>
    </row>
    <row r="37" spans="1:15" x14ac:dyDescent="0.25">
      <c r="A37" s="628"/>
      <c r="B37" s="628"/>
      <c r="C37" s="628"/>
      <c r="D37" s="628"/>
      <c r="E37" s="628"/>
      <c r="F37" s="628" t="s">
        <v>121</v>
      </c>
      <c r="G37" s="628"/>
      <c r="H37" s="628"/>
      <c r="I37" s="678">
        <v>367.1</v>
      </c>
      <c r="J37" s="678">
        <v>290.51</v>
      </c>
      <c r="K37" s="634">
        <f>ROUND((I37-J37),5)</f>
        <v>76.59</v>
      </c>
      <c r="L37" s="635">
        <f>ROUND(IF(I37=0, IF(J37=0, 0, SIGN(-J37)), IF(J37=0, SIGN(I37), (I37-J37)/ABS(J37))),5)</f>
        <v>0.26363999999999999</v>
      </c>
      <c r="N37" s="634">
        <f t="shared" ref="N37:N41" si="15">+I37/10</f>
        <v>36.71</v>
      </c>
      <c r="O37" s="634">
        <f t="shared" si="0"/>
        <v>440.52000000000004</v>
      </c>
    </row>
    <row r="38" spans="1:15" x14ac:dyDescent="0.25">
      <c r="A38" s="628"/>
      <c r="B38" s="628"/>
      <c r="C38" s="628"/>
      <c r="D38" s="628"/>
      <c r="E38" s="628"/>
      <c r="F38" s="628" t="s">
        <v>122</v>
      </c>
      <c r="G38" s="628"/>
      <c r="H38" s="628"/>
      <c r="I38" s="678">
        <v>450.24</v>
      </c>
      <c r="J38" s="678">
        <v>450.16</v>
      </c>
      <c r="K38" s="634">
        <f>ROUND((I38-J38),5)</f>
        <v>0.08</v>
      </c>
      <c r="L38" s="635">
        <f>ROUND(IF(I38=0, IF(J38=0, 0, SIGN(-J38)), IF(J38=0, SIGN(I38), (I38-J38)/ABS(J38))),5)</f>
        <v>1.8000000000000001E-4</v>
      </c>
      <c r="N38" s="634">
        <f t="shared" si="15"/>
        <v>45.024000000000001</v>
      </c>
      <c r="O38" s="634">
        <f t="shared" si="0"/>
        <v>540.28800000000001</v>
      </c>
    </row>
    <row r="39" spans="1:15" x14ac:dyDescent="0.25">
      <c r="A39" s="628"/>
      <c r="B39" s="628"/>
      <c r="C39" s="628"/>
      <c r="D39" s="628"/>
      <c r="E39" s="628"/>
      <c r="F39" s="628" t="s">
        <v>123</v>
      </c>
      <c r="G39" s="628"/>
      <c r="H39" s="628"/>
      <c r="I39" s="678">
        <v>1078.79</v>
      </c>
      <c r="J39" s="678">
        <v>842.06</v>
      </c>
      <c r="K39" s="634">
        <f>ROUND((I39-J39),5)</f>
        <v>236.73</v>
      </c>
      <c r="L39" s="635">
        <f>ROUND(IF(I39=0, IF(J39=0, 0, SIGN(-J39)), IF(J39=0, SIGN(I39), (I39-J39)/ABS(J39))),5)</f>
        <v>0.28112999999999999</v>
      </c>
      <c r="N39" s="634">
        <f t="shared" si="15"/>
        <v>107.87899999999999</v>
      </c>
      <c r="O39" s="634">
        <f t="shared" si="0"/>
        <v>1294.548</v>
      </c>
    </row>
    <row r="40" spans="1:15" x14ac:dyDescent="0.25">
      <c r="A40" s="628"/>
      <c r="B40" s="628"/>
      <c r="C40" s="628"/>
      <c r="D40" s="628"/>
      <c r="E40" s="628"/>
      <c r="F40" s="628" t="s">
        <v>124</v>
      </c>
      <c r="G40" s="628"/>
      <c r="H40" s="628"/>
      <c r="I40" s="678">
        <v>302.12</v>
      </c>
      <c r="J40" s="678">
        <v>17521.46</v>
      </c>
      <c r="K40" s="634">
        <f>ROUND((I40-J40),5)</f>
        <v>-17219.34</v>
      </c>
      <c r="L40" s="635">
        <f>ROUND(IF(I40=0, IF(J40=0, 0, SIGN(-J40)), IF(J40=0, SIGN(I40), (I40-J40)/ABS(J40))),5)</f>
        <v>-0.98275999999999997</v>
      </c>
      <c r="N40" s="634">
        <f t="shared" si="15"/>
        <v>30.212</v>
      </c>
      <c r="O40" s="634">
        <v>22600</v>
      </c>
    </row>
    <row r="41" spans="1:15" x14ac:dyDescent="0.25">
      <c r="A41" s="628"/>
      <c r="B41" s="628"/>
      <c r="C41" s="628"/>
      <c r="D41" s="628"/>
      <c r="E41" s="628"/>
      <c r="F41" s="628" t="s">
        <v>125</v>
      </c>
      <c r="G41" s="628"/>
      <c r="H41" s="628"/>
      <c r="I41" s="678"/>
      <c r="J41" s="678"/>
      <c r="K41" s="634"/>
      <c r="L41" s="635"/>
      <c r="N41" s="634">
        <f t="shared" si="15"/>
        <v>0</v>
      </c>
      <c r="O41" s="634">
        <f t="shared" si="0"/>
        <v>0</v>
      </c>
    </row>
    <row r="42" spans="1:15" x14ac:dyDescent="0.25">
      <c r="A42" s="628"/>
      <c r="B42" s="628"/>
      <c r="C42" s="628"/>
      <c r="D42" s="628"/>
      <c r="E42" s="628"/>
      <c r="F42" s="628"/>
      <c r="G42" s="628" t="s">
        <v>126</v>
      </c>
      <c r="H42" s="628"/>
      <c r="I42" s="678">
        <v>6002.08</v>
      </c>
      <c r="J42" s="678">
        <v>6246.4</v>
      </c>
      <c r="K42" s="634">
        <f t="shared" ref="K42:K47" si="16">ROUND((I42-J42),5)</f>
        <v>-244.32</v>
      </c>
      <c r="L42" s="635">
        <f t="shared" ref="L42:L47" si="17">ROUND(IF(I42=0, IF(J42=0, 0, SIGN(-J42)), IF(J42=0, SIGN(I42), (I42-J42)/ABS(J42))),5)</f>
        <v>-3.9109999999999999E-2</v>
      </c>
      <c r="N42" s="634"/>
      <c r="O42" s="634">
        <f t="shared" si="0"/>
        <v>6002.08</v>
      </c>
    </row>
    <row r="43" spans="1:15" x14ac:dyDescent="0.25">
      <c r="A43" s="628"/>
      <c r="B43" s="628"/>
      <c r="C43" s="628"/>
      <c r="D43" s="628"/>
      <c r="E43" s="628"/>
      <c r="F43" s="628"/>
      <c r="G43" s="628" t="s">
        <v>128</v>
      </c>
      <c r="H43" s="628"/>
      <c r="I43" s="678">
        <v>6720.31</v>
      </c>
      <c r="J43" s="678">
        <v>0</v>
      </c>
      <c r="K43" s="634">
        <f t="shared" si="16"/>
        <v>6720.31</v>
      </c>
      <c r="L43" s="635">
        <f t="shared" si="17"/>
        <v>1</v>
      </c>
      <c r="N43" s="634"/>
      <c r="O43" s="634">
        <f t="shared" si="0"/>
        <v>6720.31</v>
      </c>
    </row>
    <row r="44" spans="1:15" x14ac:dyDescent="0.25">
      <c r="A44" s="628"/>
      <c r="B44" s="628"/>
      <c r="C44" s="628"/>
      <c r="D44" s="628"/>
      <c r="E44" s="628"/>
      <c r="F44" s="628"/>
      <c r="G44" s="628" t="s">
        <v>129</v>
      </c>
      <c r="H44" s="628"/>
      <c r="I44" s="678">
        <v>1255.1300000000001</v>
      </c>
      <c r="J44" s="678">
        <v>1228.24</v>
      </c>
      <c r="K44" s="634">
        <f t="shared" si="16"/>
        <v>26.89</v>
      </c>
      <c r="L44" s="635">
        <f t="shared" si="17"/>
        <v>2.189E-2</v>
      </c>
      <c r="N44" s="634"/>
      <c r="O44" s="634">
        <f t="shared" si="0"/>
        <v>1255.1300000000001</v>
      </c>
    </row>
    <row r="45" spans="1:15" ht="15.75" thickBot="1" x14ac:dyDescent="0.3">
      <c r="A45" s="628"/>
      <c r="B45" s="628"/>
      <c r="C45" s="628"/>
      <c r="D45" s="628"/>
      <c r="E45" s="628"/>
      <c r="F45" s="628"/>
      <c r="G45" s="628" t="s">
        <v>469</v>
      </c>
      <c r="H45" s="628"/>
      <c r="I45" s="636"/>
      <c r="J45" s="636">
        <v>0</v>
      </c>
      <c r="K45" s="636">
        <f t="shared" si="16"/>
        <v>0</v>
      </c>
      <c r="L45" s="637">
        <f t="shared" si="17"/>
        <v>0</v>
      </c>
      <c r="N45" s="636"/>
      <c r="O45" s="636"/>
    </row>
    <row r="46" spans="1:15" x14ac:dyDescent="0.25">
      <c r="A46" s="628"/>
      <c r="B46" s="628"/>
      <c r="C46" s="628"/>
      <c r="D46" s="628"/>
      <c r="E46" s="628"/>
      <c r="F46" s="628" t="s">
        <v>130</v>
      </c>
      <c r="G46" s="628"/>
      <c r="H46" s="628"/>
      <c r="I46" s="634">
        <f>ROUND(SUM(I41:I45),5)</f>
        <v>13977.52</v>
      </c>
      <c r="J46" s="634">
        <f>ROUND(SUM(J41:J45),5)</f>
        <v>7474.64</v>
      </c>
      <c r="K46" s="634">
        <f t="shared" si="16"/>
        <v>6502.88</v>
      </c>
      <c r="L46" s="635">
        <f t="shared" si="17"/>
        <v>0.86999000000000004</v>
      </c>
      <c r="N46" s="634">
        <f>ROUND(SUM(N41:N45),5)</f>
        <v>0</v>
      </c>
      <c r="O46" s="634">
        <f>ROUND(SUM(O41:O45),5)</f>
        <v>13977.52</v>
      </c>
    </row>
    <row r="47" spans="1:15" x14ac:dyDescent="0.25">
      <c r="A47" s="628"/>
      <c r="B47" s="628"/>
      <c r="C47" s="628"/>
      <c r="D47" s="628"/>
      <c r="E47" s="628"/>
      <c r="F47" s="628" t="s">
        <v>131</v>
      </c>
      <c r="G47" s="628"/>
      <c r="H47" s="628"/>
      <c r="I47" s="634">
        <v>0</v>
      </c>
      <c r="J47" s="678">
        <v>633</v>
      </c>
      <c r="K47" s="634">
        <f t="shared" si="16"/>
        <v>-633</v>
      </c>
      <c r="L47" s="635">
        <f t="shared" si="17"/>
        <v>-1</v>
      </c>
      <c r="N47" s="634">
        <f t="shared" ref="N47:N70" si="18">+I47/9</f>
        <v>0</v>
      </c>
      <c r="O47" s="634">
        <f t="shared" si="0"/>
        <v>0</v>
      </c>
    </row>
    <row r="48" spans="1:15" x14ac:dyDescent="0.25">
      <c r="A48" s="628"/>
      <c r="B48" s="628"/>
      <c r="C48" s="628"/>
      <c r="D48" s="628"/>
      <c r="E48" s="628"/>
      <c r="F48" s="628" t="s">
        <v>132</v>
      </c>
      <c r="G48" s="628"/>
      <c r="H48" s="628"/>
      <c r="I48" s="634"/>
      <c r="J48" s="634"/>
      <c r="K48" s="634"/>
      <c r="L48" s="635"/>
      <c r="N48" s="634"/>
      <c r="O48" s="634"/>
    </row>
    <row r="49" spans="1:15" x14ac:dyDescent="0.25">
      <c r="A49" s="628"/>
      <c r="B49" s="628"/>
      <c r="C49" s="628"/>
      <c r="D49" s="628"/>
      <c r="E49" s="628"/>
      <c r="F49" s="628"/>
      <c r="G49" s="628" t="s">
        <v>133</v>
      </c>
      <c r="H49" s="628"/>
      <c r="I49" s="634">
        <v>0</v>
      </c>
      <c r="J49" s="678">
        <v>4449.84</v>
      </c>
      <c r="K49" s="634">
        <f t="shared" ref="K49:K56" si="19">ROUND((I49-J49),5)</f>
        <v>-4449.84</v>
      </c>
      <c r="L49" s="635">
        <f t="shared" ref="L49:L56" si="20">ROUND(IF(I49=0, IF(J49=0, 0, SIGN(-J49)), IF(J49=0, SIGN(I49), (I49-J49)/ABS(J49))),5)</f>
        <v>-1</v>
      </c>
      <c r="N49" s="634">
        <f t="shared" ref="N49:N55" si="21">+I49/10</f>
        <v>0</v>
      </c>
      <c r="O49" s="634">
        <f t="shared" si="0"/>
        <v>0</v>
      </c>
    </row>
    <row r="50" spans="1:15" x14ac:dyDescent="0.25">
      <c r="A50" s="628"/>
      <c r="B50" s="628"/>
      <c r="C50" s="628"/>
      <c r="D50" s="628"/>
      <c r="E50" s="628"/>
      <c r="F50" s="628"/>
      <c r="G50" s="628" t="s">
        <v>134</v>
      </c>
      <c r="H50" s="628"/>
      <c r="I50" s="678">
        <v>1285.81</v>
      </c>
      <c r="J50" s="678">
        <v>394</v>
      </c>
      <c r="K50" s="634">
        <f t="shared" si="19"/>
        <v>891.81</v>
      </c>
      <c r="L50" s="635">
        <f t="shared" si="20"/>
        <v>2.2634799999999999</v>
      </c>
      <c r="N50" s="634">
        <f t="shared" si="21"/>
        <v>128.58099999999999</v>
      </c>
      <c r="O50" s="634">
        <f t="shared" si="0"/>
        <v>1542.972</v>
      </c>
    </row>
    <row r="51" spans="1:15" x14ac:dyDescent="0.25">
      <c r="A51" s="628"/>
      <c r="B51" s="628"/>
      <c r="C51" s="628"/>
      <c r="D51" s="628"/>
      <c r="E51" s="628"/>
      <c r="F51" s="628"/>
      <c r="G51" s="628" t="s">
        <v>470</v>
      </c>
      <c r="H51" s="628"/>
      <c r="I51" s="678"/>
      <c r="J51" s="678">
        <v>0</v>
      </c>
      <c r="K51" s="634">
        <f>ROUND((I51-J51),5)</f>
        <v>0</v>
      </c>
      <c r="L51" s="635">
        <f>ROUND(IF(I51=0, IF(J51=0, 0, SIGN(-J51)), IF(J51=0, SIGN(I51), (I51-J51)/ABS(J51))),5)</f>
        <v>0</v>
      </c>
      <c r="N51" s="634">
        <f>+I51/10</f>
        <v>0</v>
      </c>
      <c r="O51" s="634">
        <f>+I51+(N51*2)</f>
        <v>0</v>
      </c>
    </row>
    <row r="52" spans="1:15" x14ac:dyDescent="0.25">
      <c r="A52" s="628"/>
      <c r="B52" s="628"/>
      <c r="C52" s="628"/>
      <c r="D52" s="628"/>
      <c r="E52" s="628"/>
      <c r="F52" s="628"/>
      <c r="G52" s="628" t="s">
        <v>135</v>
      </c>
      <c r="H52" s="628"/>
      <c r="I52" s="678">
        <v>3568.63</v>
      </c>
      <c r="J52" s="678">
        <v>1256.46</v>
      </c>
      <c r="K52" s="634">
        <f>ROUND((I52-J52),5)</f>
        <v>2312.17</v>
      </c>
      <c r="L52" s="635">
        <f>ROUND(IF(I52=0, IF(J52=0, 0, SIGN(-J52)), IF(J52=0, SIGN(I52), (I52-J52)/ABS(J52))),5)</f>
        <v>1.84023</v>
      </c>
      <c r="N52" s="634">
        <f>+I52/10</f>
        <v>356.863</v>
      </c>
      <c r="O52" s="634">
        <f>+I52+(N52*2)</f>
        <v>4282.3559999999998</v>
      </c>
    </row>
    <row r="53" spans="1:15" x14ac:dyDescent="0.25">
      <c r="A53" s="628"/>
      <c r="B53" s="628"/>
      <c r="C53" s="628"/>
      <c r="D53" s="628"/>
      <c r="E53" s="628"/>
      <c r="F53" s="628"/>
      <c r="G53" s="628" t="s">
        <v>136</v>
      </c>
      <c r="H53" s="628"/>
      <c r="I53" s="678">
        <v>11674.77</v>
      </c>
      <c r="J53" s="678">
        <v>7249.72</v>
      </c>
      <c r="K53" s="634">
        <f>ROUND((I53-J53),5)</f>
        <v>4425.05</v>
      </c>
      <c r="L53" s="635">
        <f>ROUND(IF(I53=0, IF(J53=0, 0, SIGN(-J53)), IF(J53=0, SIGN(I53), (I53-J53)/ABS(J53))),5)</f>
        <v>0.61038000000000003</v>
      </c>
      <c r="N53" s="634">
        <f>+I53/10</f>
        <v>1167.4770000000001</v>
      </c>
      <c r="O53" s="634">
        <f>+I53+(N53*2)</f>
        <v>14009.724</v>
      </c>
    </row>
    <row r="54" spans="1:15" x14ac:dyDescent="0.25">
      <c r="A54" s="628"/>
      <c r="B54" s="628"/>
      <c r="C54" s="628"/>
      <c r="D54" s="628"/>
      <c r="E54" s="628"/>
      <c r="F54" s="628"/>
      <c r="G54" s="628" t="s">
        <v>137</v>
      </c>
      <c r="H54" s="628"/>
      <c r="I54" s="678">
        <v>2641</v>
      </c>
      <c r="J54" s="634">
        <v>2005</v>
      </c>
      <c r="K54" s="634">
        <f>ROUND((I54-J54),5)</f>
        <v>636</v>
      </c>
      <c r="L54" s="635">
        <f>ROUND(IF(I54=0, IF(J54=0, 0, SIGN(-J54)), IF(J54=0, SIGN(I54), (I54-J54)/ABS(J54))),5)</f>
        <v>0.31720999999999999</v>
      </c>
      <c r="N54" s="634">
        <f>+I54/10</f>
        <v>264.10000000000002</v>
      </c>
      <c r="O54" s="634">
        <f>+I54+(N54*2)</f>
        <v>3169.2</v>
      </c>
    </row>
    <row r="55" spans="1:15" ht="15.75" thickBot="1" x14ac:dyDescent="0.3">
      <c r="A55" s="628"/>
      <c r="B55" s="628"/>
      <c r="C55" s="628"/>
      <c r="D55" s="628"/>
      <c r="E55" s="628"/>
      <c r="F55" s="628"/>
      <c r="G55" s="628" t="s">
        <v>138</v>
      </c>
      <c r="H55" s="628"/>
      <c r="I55" s="636"/>
      <c r="J55" s="636">
        <v>0</v>
      </c>
      <c r="K55" s="636">
        <f t="shared" si="19"/>
        <v>0</v>
      </c>
      <c r="L55" s="637">
        <f t="shared" si="20"/>
        <v>0</v>
      </c>
      <c r="N55" s="636">
        <f t="shared" si="21"/>
        <v>0</v>
      </c>
      <c r="O55" s="636">
        <f t="shared" si="0"/>
        <v>0</v>
      </c>
    </row>
    <row r="56" spans="1:15" x14ac:dyDescent="0.25">
      <c r="A56" s="628"/>
      <c r="B56" s="628"/>
      <c r="C56" s="628"/>
      <c r="D56" s="628"/>
      <c r="E56" s="628"/>
      <c r="F56" s="628" t="s">
        <v>139</v>
      </c>
      <c r="G56" s="628"/>
      <c r="H56" s="628"/>
      <c r="I56" s="634">
        <f>ROUND(SUM(I48:I55),5)</f>
        <v>19170.21</v>
      </c>
      <c r="J56" s="634">
        <f>ROUND(SUM(J48:J55),5)</f>
        <v>15355.02</v>
      </c>
      <c r="K56" s="634">
        <f t="shared" si="19"/>
        <v>3815.19</v>
      </c>
      <c r="L56" s="635">
        <f t="shared" si="20"/>
        <v>0.24847</v>
      </c>
      <c r="N56" s="634">
        <f>ROUND(SUM(N48:N55),5)</f>
        <v>1917.021</v>
      </c>
      <c r="O56" s="634">
        <f>ROUND(SUM(O48:O55),5)</f>
        <v>23004.252</v>
      </c>
    </row>
    <row r="57" spans="1:15" x14ac:dyDescent="0.25">
      <c r="A57" s="628"/>
      <c r="B57" s="628"/>
      <c r="C57" s="628"/>
      <c r="D57" s="628"/>
      <c r="E57" s="628"/>
      <c r="F57" s="628" t="s">
        <v>140</v>
      </c>
      <c r="G57" s="628"/>
      <c r="H57" s="628"/>
      <c r="I57" s="634"/>
      <c r="J57" s="634"/>
      <c r="K57" s="634"/>
      <c r="L57" s="635"/>
      <c r="N57" s="634"/>
      <c r="O57" s="634"/>
    </row>
    <row r="58" spans="1:15" x14ac:dyDescent="0.25">
      <c r="A58" s="628"/>
      <c r="B58" s="628"/>
      <c r="C58" s="628"/>
      <c r="D58" s="628"/>
      <c r="E58" s="628"/>
      <c r="F58" s="628"/>
      <c r="G58" s="628" t="s">
        <v>141</v>
      </c>
      <c r="H58" s="628"/>
      <c r="I58" s="634"/>
      <c r="J58" s="634"/>
      <c r="K58" s="634"/>
      <c r="L58" s="635"/>
      <c r="N58" s="634"/>
      <c r="O58" s="634"/>
    </row>
    <row r="59" spans="1:15" x14ac:dyDescent="0.25">
      <c r="A59" s="628"/>
      <c r="B59" s="628"/>
      <c r="C59" s="628"/>
      <c r="D59" s="628"/>
      <c r="E59" s="628"/>
      <c r="F59" s="628"/>
      <c r="G59" s="628"/>
      <c r="H59" s="628" t="s">
        <v>471</v>
      </c>
      <c r="I59" s="678">
        <v>12149.46</v>
      </c>
      <c r="J59" s="678">
        <v>14904.2</v>
      </c>
      <c r="K59" s="634">
        <f>ROUND((I59-J59),5)</f>
        <v>-2754.74</v>
      </c>
      <c r="L59" s="635">
        <f>ROUND(IF(I59=0, IF(J59=0, 0, SIGN(-J59)), IF(J59=0, SIGN(I59), (I59-J59)/ABS(J59))),5)</f>
        <v>-0.18482999999999999</v>
      </c>
      <c r="N59" s="634">
        <f t="shared" ref="N59:N61" si="22">+I59/10</f>
        <v>1214.9459999999999</v>
      </c>
      <c r="O59" s="634">
        <f t="shared" si="0"/>
        <v>14579.351999999999</v>
      </c>
    </row>
    <row r="60" spans="1:15" x14ac:dyDescent="0.25">
      <c r="A60" s="628"/>
      <c r="B60" s="628"/>
      <c r="C60" s="628"/>
      <c r="D60" s="628"/>
      <c r="E60" s="628"/>
      <c r="F60" s="628"/>
      <c r="G60" s="628"/>
      <c r="H60" s="628" t="s">
        <v>144</v>
      </c>
      <c r="I60" s="678">
        <v>130463.51</v>
      </c>
      <c r="J60" s="678">
        <v>183049.37</v>
      </c>
      <c r="K60" s="634">
        <f>ROUND((I60-J60),5)</f>
        <v>-52585.86</v>
      </c>
      <c r="L60" s="635">
        <f>ROUND(IF(I60=0, IF(J60=0, 0, SIGN(-J60)), IF(J60=0, SIGN(I60), (I60-J60)/ABS(J60))),5)</f>
        <v>-0.28727999999999998</v>
      </c>
      <c r="N60" s="634">
        <f t="shared" si="22"/>
        <v>13046.350999999999</v>
      </c>
      <c r="O60" s="634">
        <f t="shared" si="0"/>
        <v>156556.212</v>
      </c>
    </row>
    <row r="61" spans="1:15" ht="15.75" thickBot="1" x14ac:dyDescent="0.3">
      <c r="A61" s="628"/>
      <c r="B61" s="628"/>
      <c r="C61" s="628"/>
      <c r="D61" s="628"/>
      <c r="E61" s="628"/>
      <c r="F61" s="628"/>
      <c r="G61" s="628"/>
      <c r="H61" s="628" t="s">
        <v>472</v>
      </c>
      <c r="I61" s="679">
        <v>1471.59</v>
      </c>
      <c r="J61" s="679">
        <v>0</v>
      </c>
      <c r="K61" s="636">
        <f>ROUND((I61-J61),5)</f>
        <v>1471.59</v>
      </c>
      <c r="L61" s="637">
        <f>ROUND(IF(I61=0, IF(J61=0, 0, SIGN(-J61)), IF(J61=0, SIGN(I61), (I61-J61)/ABS(J61))),5)</f>
        <v>1</v>
      </c>
      <c r="N61" s="636">
        <f t="shared" si="22"/>
        <v>147.15899999999999</v>
      </c>
      <c r="O61" s="636">
        <f t="shared" si="0"/>
        <v>1765.9079999999999</v>
      </c>
    </row>
    <row r="62" spans="1:15" x14ac:dyDescent="0.25">
      <c r="A62" s="628"/>
      <c r="B62" s="628"/>
      <c r="C62" s="628"/>
      <c r="D62" s="628"/>
      <c r="E62" s="628"/>
      <c r="F62" s="628"/>
      <c r="G62" s="628" t="s">
        <v>146</v>
      </c>
      <c r="H62" s="628"/>
      <c r="I62" s="634">
        <f>ROUND(SUM(I58:I61),5)</f>
        <v>144084.56</v>
      </c>
      <c r="J62" s="634">
        <f>ROUND(SUM(J58:J61),5)</f>
        <v>197953.57</v>
      </c>
      <c r="K62" s="634">
        <f>ROUND((I62-J62),5)</f>
        <v>-53869.01</v>
      </c>
      <c r="L62" s="635">
        <f>ROUND(IF(I62=0, IF(J62=0, 0, SIGN(-J62)), IF(J62=0, SIGN(I62), (I62-J62)/ABS(J62))),5)</f>
        <v>-0.27212999999999998</v>
      </c>
      <c r="N62" s="634">
        <f>ROUND(SUM(N58:N61),5)</f>
        <v>14408.456</v>
      </c>
      <c r="O62" s="634">
        <f>ROUND(SUM(O58:O61),5)</f>
        <v>172901.47200000001</v>
      </c>
    </row>
    <row r="63" spans="1:15" x14ac:dyDescent="0.25">
      <c r="A63" s="628"/>
      <c r="B63" s="628"/>
      <c r="C63" s="628"/>
      <c r="D63" s="628"/>
      <c r="E63" s="628"/>
      <c r="F63" s="628"/>
      <c r="G63" s="628" t="s">
        <v>150</v>
      </c>
      <c r="H63" s="628"/>
      <c r="I63" s="634"/>
      <c r="J63" s="634"/>
      <c r="K63" s="634"/>
      <c r="L63" s="635"/>
      <c r="N63" s="634"/>
      <c r="O63" s="634"/>
    </row>
    <row r="64" spans="1:15" x14ac:dyDescent="0.25">
      <c r="A64" s="628"/>
      <c r="B64" s="628"/>
      <c r="C64" s="628"/>
      <c r="D64" s="628"/>
      <c r="E64" s="628"/>
      <c r="F64" s="628"/>
      <c r="G64" s="628"/>
      <c r="H64" s="628" t="s">
        <v>151</v>
      </c>
      <c r="I64" s="678">
        <v>203.94</v>
      </c>
      <c r="J64" s="678">
        <v>194.33</v>
      </c>
      <c r="K64" s="634">
        <f t="shared" ref="K64:K71" si="23">ROUND((I64-J64),5)</f>
        <v>9.61</v>
      </c>
      <c r="L64" s="635">
        <f t="shared" ref="L64:L71" si="24">ROUND(IF(I64=0, IF(J64=0, 0, SIGN(-J64)), IF(J64=0, SIGN(I64), (I64-J64)/ABS(J64))),5)</f>
        <v>4.9450000000000001E-2</v>
      </c>
      <c r="N64" s="634">
        <f t="shared" ref="N64:N68" si="25">+I64/10</f>
        <v>20.393999999999998</v>
      </c>
      <c r="O64" s="634">
        <f t="shared" si="0"/>
        <v>244.72800000000001</v>
      </c>
    </row>
    <row r="65" spans="1:15" x14ac:dyDescent="0.25">
      <c r="A65" s="628"/>
      <c r="B65" s="628"/>
      <c r="C65" s="628"/>
      <c r="D65" s="628"/>
      <c r="E65" s="628"/>
      <c r="F65" s="628"/>
      <c r="G65" s="628"/>
      <c r="H65" s="628" t="s">
        <v>152</v>
      </c>
      <c r="I65" s="678">
        <v>1883.72</v>
      </c>
      <c r="J65" s="678">
        <v>2544.4699999999998</v>
      </c>
      <c r="K65" s="634">
        <f t="shared" si="23"/>
        <v>-660.75</v>
      </c>
      <c r="L65" s="635">
        <f t="shared" si="24"/>
        <v>-0.25968000000000002</v>
      </c>
      <c r="N65" s="634">
        <f t="shared" si="25"/>
        <v>188.37200000000001</v>
      </c>
      <c r="O65" s="634">
        <f t="shared" si="0"/>
        <v>2260.4639999999999</v>
      </c>
    </row>
    <row r="66" spans="1:15" x14ac:dyDescent="0.25">
      <c r="A66" s="628"/>
      <c r="B66" s="628"/>
      <c r="C66" s="628"/>
      <c r="D66" s="628"/>
      <c r="E66" s="628"/>
      <c r="F66" s="628"/>
      <c r="G66" s="628"/>
      <c r="H66" s="628" t="s">
        <v>153</v>
      </c>
      <c r="I66" s="678">
        <v>8054.33</v>
      </c>
      <c r="J66" s="678">
        <v>10879.51</v>
      </c>
      <c r="K66" s="634">
        <f t="shared" si="23"/>
        <v>-2825.18</v>
      </c>
      <c r="L66" s="635">
        <f t="shared" si="24"/>
        <v>-0.25968000000000002</v>
      </c>
      <c r="N66" s="634">
        <f t="shared" si="25"/>
        <v>805.43299999999999</v>
      </c>
      <c r="O66" s="634">
        <f t="shared" si="0"/>
        <v>9665.1959999999999</v>
      </c>
    </row>
    <row r="67" spans="1:15" x14ac:dyDescent="0.25">
      <c r="A67" s="628"/>
      <c r="B67" s="628"/>
      <c r="C67" s="628"/>
      <c r="D67" s="628"/>
      <c r="E67" s="628"/>
      <c r="F67" s="628"/>
      <c r="G67" s="628"/>
      <c r="H67" s="628" t="s">
        <v>154</v>
      </c>
      <c r="I67" s="678">
        <v>304.58</v>
      </c>
      <c r="J67" s="678">
        <v>382.26</v>
      </c>
      <c r="K67" s="634">
        <f t="shared" si="23"/>
        <v>-77.680000000000007</v>
      </c>
      <c r="L67" s="635">
        <f t="shared" si="24"/>
        <v>-0.20321</v>
      </c>
      <c r="N67" s="634">
        <f t="shared" si="25"/>
        <v>30.457999999999998</v>
      </c>
      <c r="O67" s="634">
        <f t="shared" si="0"/>
        <v>365.49599999999998</v>
      </c>
    </row>
    <row r="68" spans="1:15" x14ac:dyDescent="0.25">
      <c r="A68" s="628"/>
      <c r="B68" s="628"/>
      <c r="C68" s="628"/>
      <c r="D68" s="628"/>
      <c r="E68" s="628"/>
      <c r="F68" s="628"/>
      <c r="G68" s="628"/>
      <c r="H68" s="680" t="s">
        <v>155</v>
      </c>
      <c r="I68" s="682">
        <v>0</v>
      </c>
      <c r="J68" s="683">
        <v>34.22</v>
      </c>
      <c r="K68" s="682">
        <f t="shared" si="23"/>
        <v>-34.22</v>
      </c>
      <c r="L68" s="684">
        <f t="shared" si="24"/>
        <v>-1</v>
      </c>
      <c r="N68" s="682">
        <f t="shared" si="25"/>
        <v>0</v>
      </c>
      <c r="O68" s="682">
        <f t="shared" si="0"/>
        <v>0</v>
      </c>
    </row>
    <row r="69" spans="1:15" x14ac:dyDescent="0.25">
      <c r="A69" s="628"/>
      <c r="B69" s="628"/>
      <c r="C69" s="628"/>
      <c r="D69" s="628"/>
      <c r="E69" s="628"/>
      <c r="F69" s="628"/>
      <c r="G69" s="628" t="s">
        <v>156</v>
      </c>
      <c r="H69" s="628"/>
      <c r="I69" s="634">
        <f>ROUND(SUM(I63:I67),5)</f>
        <v>10446.57</v>
      </c>
      <c r="J69" s="634">
        <f>ROUND(SUM(J63:J68),5)</f>
        <v>14034.79</v>
      </c>
      <c r="K69" s="634">
        <f t="shared" si="23"/>
        <v>-3588.22</v>
      </c>
      <c r="L69" s="635">
        <f t="shared" si="24"/>
        <v>-0.25567000000000001</v>
      </c>
      <c r="N69" s="634">
        <f>ROUND(SUM(N63:N67),5)</f>
        <v>1044.6569999999999</v>
      </c>
      <c r="O69" s="634">
        <f>ROUND(SUM(O63:O67),5)</f>
        <v>12535.884</v>
      </c>
    </row>
    <row r="70" spans="1:15" ht="15.75" thickBot="1" x14ac:dyDescent="0.3">
      <c r="A70" s="628"/>
      <c r="B70" s="628"/>
      <c r="C70" s="628"/>
      <c r="D70" s="628"/>
      <c r="E70" s="628"/>
      <c r="F70" s="628"/>
      <c r="G70" s="628" t="s">
        <v>473</v>
      </c>
      <c r="H70" s="628"/>
      <c r="I70" s="636">
        <v>0</v>
      </c>
      <c r="J70" s="636">
        <v>0</v>
      </c>
      <c r="K70" s="636">
        <f t="shared" si="23"/>
        <v>0</v>
      </c>
      <c r="L70" s="637">
        <f t="shared" si="24"/>
        <v>0</v>
      </c>
      <c r="N70" s="636">
        <f t="shared" si="18"/>
        <v>0</v>
      </c>
      <c r="O70" s="636">
        <f t="shared" si="0"/>
        <v>0</v>
      </c>
    </row>
    <row r="71" spans="1:15" x14ac:dyDescent="0.25">
      <c r="A71" s="628"/>
      <c r="B71" s="628"/>
      <c r="C71" s="628"/>
      <c r="D71" s="628"/>
      <c r="E71" s="628"/>
      <c r="F71" s="628" t="s">
        <v>157</v>
      </c>
      <c r="G71" s="628"/>
      <c r="H71" s="628"/>
      <c r="I71" s="634">
        <f>ROUND(I57+I62+SUM(I69:I70),5)</f>
        <v>154531.13</v>
      </c>
      <c r="J71" s="634">
        <f>ROUND(J57+J62+SUM(J69:J70),5)</f>
        <v>211988.36</v>
      </c>
      <c r="K71" s="634">
        <f t="shared" si="23"/>
        <v>-57457.23</v>
      </c>
      <c r="L71" s="635">
        <f t="shared" si="24"/>
        <v>-0.27104</v>
      </c>
      <c r="N71" s="634">
        <f>ROUND(N57+N62+SUM(N69:N70),5)</f>
        <v>15453.112999999999</v>
      </c>
      <c r="O71" s="634">
        <f>ROUND(O57+O62+SUM(O69:O70),5)</f>
        <v>185437.356</v>
      </c>
    </row>
    <row r="72" spans="1:15" x14ac:dyDescent="0.25">
      <c r="A72" s="628"/>
      <c r="B72" s="628"/>
      <c r="C72" s="628"/>
      <c r="D72" s="628"/>
      <c r="E72" s="628"/>
      <c r="F72" s="628" t="s">
        <v>158</v>
      </c>
      <c r="G72" s="628"/>
      <c r="H72" s="628"/>
      <c r="I72" s="634"/>
      <c r="J72" s="634"/>
      <c r="K72" s="634"/>
      <c r="L72" s="635"/>
      <c r="N72" s="634"/>
      <c r="O72" s="634"/>
    </row>
    <row r="73" spans="1:15" x14ac:dyDescent="0.25">
      <c r="A73" s="628"/>
      <c r="B73" s="628"/>
      <c r="C73" s="628"/>
      <c r="D73" s="628"/>
      <c r="E73" s="628"/>
      <c r="F73" s="628"/>
      <c r="G73" s="628" t="s">
        <v>159</v>
      </c>
      <c r="H73" s="628"/>
      <c r="I73" s="678">
        <v>9750</v>
      </c>
      <c r="J73" s="678">
        <v>16090</v>
      </c>
      <c r="K73" s="634">
        <f t="shared" ref="K73:K78" si="26">ROUND((I73-J73),5)</f>
        <v>-6340</v>
      </c>
      <c r="L73" s="635">
        <f t="shared" ref="L73:L78" si="27">ROUND(IF(I73=0, IF(J73=0, 0, SIGN(-J73)), IF(J73=0, SIGN(I73), (I73-J73)/ABS(J73))),5)</f>
        <v>-0.39402999999999999</v>
      </c>
      <c r="N73" s="634">
        <f t="shared" ref="N73:N75" si="28">+I73/10</f>
        <v>975</v>
      </c>
      <c r="O73" s="634">
        <f t="shared" si="0"/>
        <v>11700</v>
      </c>
    </row>
    <row r="74" spans="1:15" x14ac:dyDescent="0.25">
      <c r="A74" s="628"/>
      <c r="B74" s="628"/>
      <c r="C74" s="628"/>
      <c r="D74" s="628"/>
      <c r="E74" s="628"/>
      <c r="F74" s="628"/>
      <c r="G74" s="628" t="s">
        <v>160</v>
      </c>
      <c r="H74" s="628"/>
      <c r="I74" s="678">
        <v>50657.120000000003</v>
      </c>
      <c r="J74" s="678">
        <v>30573.75</v>
      </c>
      <c r="K74" s="634">
        <f t="shared" si="26"/>
        <v>20083.37</v>
      </c>
      <c r="L74" s="635">
        <f t="shared" si="27"/>
        <v>0.65688000000000002</v>
      </c>
      <c r="N74" s="634">
        <f t="shared" si="28"/>
        <v>5065.7120000000004</v>
      </c>
      <c r="O74" s="634">
        <f t="shared" si="0"/>
        <v>60788.544000000002</v>
      </c>
    </row>
    <row r="75" spans="1:15" ht="15.75" thickBot="1" x14ac:dyDescent="0.3">
      <c r="A75" s="628"/>
      <c r="B75" s="628"/>
      <c r="C75" s="628"/>
      <c r="D75" s="628"/>
      <c r="E75" s="628"/>
      <c r="F75" s="628"/>
      <c r="G75" s="628" t="s">
        <v>161</v>
      </c>
      <c r="H75" s="628"/>
      <c r="I75" s="679">
        <v>45040.5</v>
      </c>
      <c r="J75" s="679">
        <v>60947</v>
      </c>
      <c r="K75" s="636">
        <f t="shared" si="26"/>
        <v>-15906.5</v>
      </c>
      <c r="L75" s="637">
        <f t="shared" si="27"/>
        <v>-0.26099</v>
      </c>
      <c r="N75" s="636">
        <f t="shared" si="28"/>
        <v>4504.05</v>
      </c>
      <c r="O75" s="636">
        <f t="shared" si="0"/>
        <v>54048.6</v>
      </c>
    </row>
    <row r="76" spans="1:15" x14ac:dyDescent="0.25">
      <c r="A76" s="628"/>
      <c r="B76" s="628"/>
      <c r="C76" s="628"/>
      <c r="D76" s="628"/>
      <c r="E76" s="628"/>
      <c r="F76" s="628" t="s">
        <v>162</v>
      </c>
      <c r="G76" s="628"/>
      <c r="H76" s="628"/>
      <c r="I76" s="634">
        <f>ROUND(SUM(I72:I75),5)</f>
        <v>105447.62</v>
      </c>
      <c r="J76" s="634">
        <f>ROUND(SUM(J72:J75),5)</f>
        <v>107610.75</v>
      </c>
      <c r="K76" s="634">
        <f t="shared" si="26"/>
        <v>-2163.13</v>
      </c>
      <c r="L76" s="635">
        <f t="shared" si="27"/>
        <v>-2.01E-2</v>
      </c>
      <c r="N76" s="634">
        <f>ROUND(SUM(N72:N75),5)</f>
        <v>10544.762000000001</v>
      </c>
      <c r="O76" s="634">
        <f>ROUND(SUM(O72:O75),5)</f>
        <v>126537.144</v>
      </c>
    </row>
    <row r="77" spans="1:15" x14ac:dyDescent="0.25">
      <c r="A77" s="628"/>
      <c r="B77" s="628"/>
      <c r="C77" s="628"/>
      <c r="D77" s="628"/>
      <c r="E77" s="628"/>
      <c r="F77" s="628" t="s">
        <v>163</v>
      </c>
      <c r="G77" s="628"/>
      <c r="H77" s="628"/>
      <c r="I77" s="678">
        <v>635</v>
      </c>
      <c r="J77" s="678">
        <v>2930.13</v>
      </c>
      <c r="K77" s="634">
        <f t="shared" si="26"/>
        <v>-2295.13</v>
      </c>
      <c r="L77" s="635">
        <f t="shared" si="27"/>
        <v>-0.78329000000000004</v>
      </c>
      <c r="N77" s="634">
        <f t="shared" ref="N77:N84" si="29">+I77/10</f>
        <v>63.5</v>
      </c>
      <c r="O77" s="634">
        <f t="shared" si="0"/>
        <v>762</v>
      </c>
    </row>
    <row r="78" spans="1:15" x14ac:dyDescent="0.25">
      <c r="A78" s="628"/>
      <c r="B78" s="628"/>
      <c r="C78" s="628"/>
      <c r="D78" s="628"/>
      <c r="E78" s="628"/>
      <c r="F78" s="628" t="s">
        <v>164</v>
      </c>
      <c r="G78" s="628"/>
      <c r="H78" s="628"/>
      <c r="I78" s="678">
        <v>1483</v>
      </c>
      <c r="J78" s="678">
        <v>2238.08</v>
      </c>
      <c r="K78" s="634">
        <f t="shared" si="26"/>
        <v>-755.08</v>
      </c>
      <c r="L78" s="635">
        <f t="shared" si="27"/>
        <v>-0.33738000000000001</v>
      </c>
      <c r="N78" s="634">
        <v>2000</v>
      </c>
      <c r="O78" s="634">
        <f>+I78+(N78)</f>
        <v>3483</v>
      </c>
    </row>
    <row r="79" spans="1:15" x14ac:dyDescent="0.25">
      <c r="A79" s="628"/>
      <c r="B79" s="628"/>
      <c r="C79" s="628"/>
      <c r="D79" s="628"/>
      <c r="E79" s="628"/>
      <c r="F79" s="628" t="s">
        <v>165</v>
      </c>
      <c r="G79" s="628"/>
      <c r="H79" s="628"/>
      <c r="I79" s="634"/>
      <c r="J79" s="634"/>
      <c r="K79" s="634"/>
      <c r="L79" s="635"/>
      <c r="N79" s="634"/>
      <c r="O79" s="634"/>
    </row>
    <row r="80" spans="1:15" x14ac:dyDescent="0.25">
      <c r="A80" s="628"/>
      <c r="B80" s="628"/>
      <c r="C80" s="628"/>
      <c r="D80" s="628"/>
      <c r="E80" s="628"/>
      <c r="F80" s="628"/>
      <c r="G80" s="628" t="s">
        <v>166</v>
      </c>
      <c r="H80" s="628"/>
      <c r="I80" s="634">
        <f>342.44+633.88</f>
        <v>976.31999999999994</v>
      </c>
      <c r="J80" s="678">
        <f>2776.13+33.76</f>
        <v>2809.8900000000003</v>
      </c>
      <c r="K80" s="634">
        <f t="shared" ref="K80:K86" si="30">ROUND((I80-J80),5)</f>
        <v>-1833.57</v>
      </c>
      <c r="L80" s="635">
        <f t="shared" ref="L80:L86" si="31">ROUND(IF(I80=0, IF(J80=0, 0, SIGN(-J80)), IF(J80=0, SIGN(I80), (I80-J80)/ABS(J80))),5)</f>
        <v>-0.65254000000000001</v>
      </c>
      <c r="N80" s="634">
        <f t="shared" si="29"/>
        <v>97.631999999999991</v>
      </c>
      <c r="O80" s="634">
        <f t="shared" ref="O80:O144" si="32">+I80+(N80*2)</f>
        <v>1171.5839999999998</v>
      </c>
    </row>
    <row r="81" spans="1:15" x14ac:dyDescent="0.25">
      <c r="A81" s="628"/>
      <c r="B81" s="628"/>
      <c r="C81" s="628"/>
      <c r="D81" s="628"/>
      <c r="E81" s="628"/>
      <c r="F81" s="628"/>
      <c r="G81" s="628" t="s">
        <v>167</v>
      </c>
      <c r="H81" s="628"/>
      <c r="I81" s="678">
        <v>220</v>
      </c>
      <c r="J81" s="678">
        <v>264</v>
      </c>
      <c r="K81" s="634">
        <f t="shared" si="30"/>
        <v>-44</v>
      </c>
      <c r="L81" s="635">
        <f t="shared" si="31"/>
        <v>-0.16667000000000001</v>
      </c>
      <c r="N81" s="634">
        <f t="shared" si="29"/>
        <v>22</v>
      </c>
      <c r="O81" s="634">
        <f t="shared" si="32"/>
        <v>264</v>
      </c>
    </row>
    <row r="82" spans="1:15" x14ac:dyDescent="0.25">
      <c r="A82" s="628"/>
      <c r="B82" s="628"/>
      <c r="C82" s="628"/>
      <c r="D82" s="628"/>
      <c r="E82" s="628"/>
      <c r="F82" s="628"/>
      <c r="G82" s="628" t="s">
        <v>168</v>
      </c>
      <c r="H82" s="628"/>
      <c r="I82" s="678">
        <v>916.45</v>
      </c>
      <c r="J82" s="678">
        <v>1140.99</v>
      </c>
      <c r="K82" s="634">
        <f t="shared" si="30"/>
        <v>-224.54</v>
      </c>
      <c r="L82" s="635">
        <f t="shared" si="31"/>
        <v>-0.19678999999999999</v>
      </c>
      <c r="N82" s="634">
        <f t="shared" si="29"/>
        <v>91.64500000000001</v>
      </c>
      <c r="O82" s="634">
        <f t="shared" si="32"/>
        <v>1099.74</v>
      </c>
    </row>
    <row r="83" spans="1:15" x14ac:dyDescent="0.25">
      <c r="A83" s="628"/>
      <c r="B83" s="628"/>
      <c r="C83" s="628"/>
      <c r="D83" s="628"/>
      <c r="E83" s="628"/>
      <c r="F83" s="628"/>
      <c r="G83" s="628" t="s">
        <v>169</v>
      </c>
      <c r="H83" s="628"/>
      <c r="I83" s="678">
        <v>6208.56</v>
      </c>
      <c r="J83" s="678">
        <v>3643.35</v>
      </c>
      <c r="K83" s="634">
        <f t="shared" si="30"/>
        <v>2565.21</v>
      </c>
      <c r="L83" s="635">
        <f t="shared" si="31"/>
        <v>0.70408000000000004</v>
      </c>
      <c r="N83" s="634">
        <f t="shared" si="29"/>
        <v>620.85599999999999</v>
      </c>
      <c r="O83" s="634">
        <f t="shared" si="32"/>
        <v>7450.2720000000008</v>
      </c>
    </row>
    <row r="84" spans="1:15" ht="15.75" thickBot="1" x14ac:dyDescent="0.3">
      <c r="A84" s="628"/>
      <c r="B84" s="628"/>
      <c r="C84" s="628"/>
      <c r="D84" s="628"/>
      <c r="E84" s="628"/>
      <c r="F84" s="628"/>
      <c r="G84" s="628" t="s">
        <v>170</v>
      </c>
      <c r="H84" s="628"/>
      <c r="I84" s="678">
        <v>320</v>
      </c>
      <c r="J84" s="678">
        <v>384</v>
      </c>
      <c r="K84" s="634">
        <f t="shared" si="30"/>
        <v>-64</v>
      </c>
      <c r="L84" s="635">
        <f t="shared" si="31"/>
        <v>-0.16667000000000001</v>
      </c>
      <c r="N84" s="634">
        <f t="shared" si="29"/>
        <v>32</v>
      </c>
      <c r="O84" s="634">
        <f t="shared" si="32"/>
        <v>384</v>
      </c>
    </row>
    <row r="85" spans="1:15" ht="15.75" thickBot="1" x14ac:dyDescent="0.3">
      <c r="A85" s="628"/>
      <c r="B85" s="628"/>
      <c r="C85" s="628"/>
      <c r="D85" s="628"/>
      <c r="E85" s="628"/>
      <c r="F85" s="628" t="s">
        <v>171</v>
      </c>
      <c r="G85" s="628"/>
      <c r="H85" s="628"/>
      <c r="I85" s="640">
        <f>ROUND(SUM(I79:I84),5)</f>
        <v>8641.33</v>
      </c>
      <c r="J85" s="640">
        <f>ROUND(SUM(J79:J84),5)</f>
        <v>8242.23</v>
      </c>
      <c r="K85" s="640">
        <f t="shared" si="30"/>
        <v>399.1</v>
      </c>
      <c r="L85" s="641">
        <f t="shared" si="31"/>
        <v>4.8419999999999998E-2</v>
      </c>
      <c r="N85" s="640">
        <f>ROUND(SUM(N79:N84),5)</f>
        <v>864.13300000000004</v>
      </c>
      <c r="O85" s="640">
        <f>ROUND(SUM(O79:O84),5)</f>
        <v>10369.596</v>
      </c>
    </row>
    <row r="86" spans="1:15" x14ac:dyDescent="0.25">
      <c r="A86" s="628"/>
      <c r="B86" s="628"/>
      <c r="C86" s="628"/>
      <c r="D86" s="628"/>
      <c r="E86" s="628" t="s">
        <v>173</v>
      </c>
      <c r="F86" s="628"/>
      <c r="G86" s="628"/>
      <c r="H86" s="628"/>
      <c r="I86" s="634">
        <f>ROUND(SUM(I36:I40)+SUM(I46:I47)+I56+I71+SUM(I76:I78)+I85,5)</f>
        <v>306084.06</v>
      </c>
      <c r="J86" s="634">
        <f>ROUND(SUM(J36:J40)+SUM(J46:J47)+J56+J71+SUM(J76:J78)+J85,5)</f>
        <v>375576.4</v>
      </c>
      <c r="K86" s="634">
        <f t="shared" si="30"/>
        <v>-69492.34</v>
      </c>
      <c r="L86" s="635">
        <f t="shared" si="31"/>
        <v>-0.18503</v>
      </c>
      <c r="N86" s="634">
        <f>ROUND(SUM(N36:N40)+SUM(N46:N47)+N56+N71+SUM(N76:N78)+N85,5)</f>
        <v>31062.353999999999</v>
      </c>
      <c r="O86" s="634">
        <f>ROUND(SUM(O36:O40)+SUM(O46:O47)+O56+O71+SUM(O76:O78)+O85,5)</f>
        <v>388446.22399999999</v>
      </c>
    </row>
    <row r="87" spans="1:15" x14ac:dyDescent="0.25">
      <c r="A87" s="628"/>
      <c r="B87" s="628"/>
      <c r="C87" s="628"/>
      <c r="D87" s="628"/>
      <c r="E87" s="628" t="s">
        <v>174</v>
      </c>
      <c r="F87" s="628"/>
      <c r="G87" s="628"/>
      <c r="H87" s="628"/>
      <c r="I87" s="634"/>
      <c r="J87" s="634"/>
      <c r="K87" s="634"/>
      <c r="L87" s="635"/>
      <c r="N87" s="634"/>
      <c r="O87" s="634"/>
    </row>
    <row r="88" spans="1:15" x14ac:dyDescent="0.25">
      <c r="A88" s="628"/>
      <c r="B88" s="628"/>
      <c r="C88" s="628"/>
      <c r="D88" s="628"/>
      <c r="E88" s="628"/>
      <c r="F88" s="628" t="s">
        <v>175</v>
      </c>
      <c r="G88" s="628"/>
      <c r="H88" s="628"/>
      <c r="I88" s="634"/>
      <c r="J88" s="634"/>
      <c r="K88" s="634"/>
      <c r="L88" s="635"/>
      <c r="N88" s="634"/>
      <c r="O88" s="634"/>
    </row>
    <row r="89" spans="1:15" x14ac:dyDescent="0.25">
      <c r="A89" s="628"/>
      <c r="B89" s="628"/>
      <c r="C89" s="628"/>
      <c r="D89" s="628"/>
      <c r="E89" s="628"/>
      <c r="F89" s="628"/>
      <c r="G89" s="628" t="s">
        <v>176</v>
      </c>
      <c r="H89" s="628"/>
      <c r="I89" s="678">
        <v>876.94</v>
      </c>
      <c r="J89" s="678">
        <v>691.22</v>
      </c>
      <c r="K89" s="634">
        <f>ROUND((I89-J89),5)</f>
        <v>185.72</v>
      </c>
      <c r="L89" s="635">
        <f>ROUND(IF(I89=0, IF(J89=0, 0, SIGN(-J89)), IF(J89=0, SIGN(I89), (I89-J89)/ABS(J89))),5)</f>
        <v>0.26867999999999997</v>
      </c>
      <c r="N89" s="634">
        <f t="shared" ref="N89:N92" si="33">+I89/10</f>
        <v>87.694000000000003</v>
      </c>
      <c r="O89" s="634">
        <f t="shared" si="32"/>
        <v>1052.328</v>
      </c>
    </row>
    <row r="90" spans="1:15" x14ac:dyDescent="0.25">
      <c r="A90" s="628"/>
      <c r="B90" s="628"/>
      <c r="C90" s="628"/>
      <c r="D90" s="628"/>
      <c r="E90" s="628"/>
      <c r="F90" s="628"/>
      <c r="G90" s="680" t="s">
        <v>177</v>
      </c>
      <c r="H90" s="628"/>
      <c r="I90" s="678">
        <v>378</v>
      </c>
      <c r="J90" s="678"/>
      <c r="K90" s="634"/>
      <c r="L90" s="635"/>
      <c r="N90" s="634"/>
      <c r="O90" s="634"/>
    </row>
    <row r="91" spans="1:15" x14ac:dyDescent="0.25">
      <c r="A91" s="628"/>
      <c r="B91" s="628"/>
      <c r="C91" s="628"/>
      <c r="D91" s="628"/>
      <c r="E91" s="628"/>
      <c r="F91" s="628"/>
      <c r="G91" s="628" t="s">
        <v>178</v>
      </c>
      <c r="H91" s="628"/>
      <c r="I91" s="678">
        <v>1573.53</v>
      </c>
      <c r="J91" s="678">
        <v>887.11</v>
      </c>
      <c r="K91" s="634">
        <f>ROUND((I91-J91),5)</f>
        <v>686.42</v>
      </c>
      <c r="L91" s="635">
        <f>ROUND(IF(I91=0, IF(J91=0, 0, SIGN(-J91)), IF(J91=0, SIGN(I91), (I91-J91)/ABS(J91))),5)</f>
        <v>0.77376999999999996</v>
      </c>
      <c r="N91" s="634">
        <f t="shared" si="33"/>
        <v>157.35300000000001</v>
      </c>
      <c r="O91" s="634">
        <f t="shared" si="32"/>
        <v>1888.2359999999999</v>
      </c>
    </row>
    <row r="92" spans="1:15" ht="15.75" thickBot="1" x14ac:dyDescent="0.3">
      <c r="A92" s="628"/>
      <c r="B92" s="628"/>
      <c r="C92" s="628"/>
      <c r="D92" s="628"/>
      <c r="E92" s="628"/>
      <c r="F92" s="628"/>
      <c r="G92" s="628" t="s">
        <v>179</v>
      </c>
      <c r="H92" s="628"/>
      <c r="I92" s="679">
        <v>544.66999999999996</v>
      </c>
      <c r="J92" s="679">
        <v>560.38</v>
      </c>
      <c r="K92" s="636">
        <f>ROUND((I92-J92),5)</f>
        <v>-15.71</v>
      </c>
      <c r="L92" s="637">
        <f>ROUND(IF(I92=0, IF(J92=0, 0, SIGN(-J92)), IF(J92=0, SIGN(I92), (I92-J92)/ABS(J92))),5)</f>
        <v>-2.8029999999999999E-2</v>
      </c>
      <c r="N92" s="636">
        <f t="shared" si="33"/>
        <v>54.466999999999999</v>
      </c>
      <c r="O92" s="636">
        <f t="shared" si="32"/>
        <v>653.60399999999993</v>
      </c>
    </row>
    <row r="93" spans="1:15" x14ac:dyDescent="0.25">
      <c r="A93" s="628"/>
      <c r="B93" s="628"/>
      <c r="C93" s="628"/>
      <c r="D93" s="628"/>
      <c r="E93" s="628"/>
      <c r="F93" s="628" t="s">
        <v>180</v>
      </c>
      <c r="G93" s="628"/>
      <c r="H93" s="628"/>
      <c r="I93" s="634">
        <f>ROUND(SUM(I88:I92),5)</f>
        <v>3373.14</v>
      </c>
      <c r="J93" s="634">
        <f>ROUND(SUM(J88:J92),5)</f>
        <v>2138.71</v>
      </c>
      <c r="K93" s="634">
        <f>ROUND((I93-J93),5)</f>
        <v>1234.43</v>
      </c>
      <c r="L93" s="635">
        <f>ROUND(IF(I93=0, IF(J93=0, 0, SIGN(-J93)), IF(J93=0, SIGN(I93), (I93-J93)/ABS(J93))),5)</f>
        <v>0.57718000000000003</v>
      </c>
      <c r="N93" s="634">
        <f>ROUND(SUM(N88:N92),5)</f>
        <v>299.51400000000001</v>
      </c>
      <c r="O93" s="634">
        <f>ROUND(SUM(O88:O92),5)</f>
        <v>3594.1680000000001</v>
      </c>
    </row>
    <row r="94" spans="1:15" x14ac:dyDescent="0.25">
      <c r="A94" s="628"/>
      <c r="B94" s="628"/>
      <c r="C94" s="628"/>
      <c r="D94" s="628"/>
      <c r="E94" s="628"/>
      <c r="F94" s="628" t="s">
        <v>181</v>
      </c>
      <c r="G94" s="628"/>
      <c r="H94" s="628"/>
      <c r="I94" s="634"/>
      <c r="J94" s="634"/>
      <c r="K94" s="634"/>
      <c r="L94" s="635"/>
      <c r="N94" s="634"/>
      <c r="O94" s="634"/>
    </row>
    <row r="95" spans="1:15" x14ac:dyDescent="0.25">
      <c r="A95" s="628"/>
      <c r="B95" s="628"/>
      <c r="C95" s="628"/>
      <c r="D95" s="628"/>
      <c r="E95" s="628"/>
      <c r="F95" s="628"/>
      <c r="G95" s="628" t="s">
        <v>182</v>
      </c>
      <c r="H95" s="628"/>
      <c r="I95" s="678">
        <v>16393.75</v>
      </c>
      <c r="J95" s="678">
        <v>12153.31</v>
      </c>
      <c r="K95" s="634">
        <f t="shared" ref="K95:K101" si="34">ROUND((I95-J95),5)</f>
        <v>4240.4399999999996</v>
      </c>
      <c r="L95" s="635">
        <f t="shared" ref="L95:L101" si="35">ROUND(IF(I95=0, IF(J95=0, 0, SIGN(-J95)), IF(J95=0, SIGN(I95), (I95-J95)/ABS(J95))),5)</f>
        <v>0.34891</v>
      </c>
      <c r="N95" s="634">
        <f t="shared" ref="N95:N100" si="36">+I95/10</f>
        <v>1639.375</v>
      </c>
      <c r="O95" s="634">
        <f t="shared" si="32"/>
        <v>19672.5</v>
      </c>
    </row>
    <row r="96" spans="1:15" x14ac:dyDescent="0.25">
      <c r="A96" s="628"/>
      <c r="B96" s="628"/>
      <c r="C96" s="628"/>
      <c r="D96" s="628"/>
      <c r="E96" s="628"/>
      <c r="F96" s="628"/>
      <c r="G96" s="628" t="s">
        <v>183</v>
      </c>
      <c r="H96" s="628"/>
      <c r="I96" s="678">
        <v>750</v>
      </c>
      <c r="J96" s="678">
        <v>5132.68</v>
      </c>
      <c r="K96" s="634">
        <f t="shared" si="34"/>
        <v>-4382.68</v>
      </c>
      <c r="L96" s="635">
        <f t="shared" si="35"/>
        <v>-0.85387999999999997</v>
      </c>
      <c r="N96" s="634">
        <f t="shared" si="36"/>
        <v>75</v>
      </c>
      <c r="O96" s="634">
        <f t="shared" si="32"/>
        <v>900</v>
      </c>
    </row>
    <row r="97" spans="1:15" x14ac:dyDescent="0.25">
      <c r="A97" s="628"/>
      <c r="B97" s="628"/>
      <c r="C97" s="628"/>
      <c r="D97" s="628"/>
      <c r="E97" s="628"/>
      <c r="F97" s="628"/>
      <c r="G97" s="628" t="s">
        <v>184</v>
      </c>
      <c r="H97" s="628"/>
      <c r="I97" s="678">
        <v>2731.23</v>
      </c>
      <c r="J97" s="678">
        <v>3664.68</v>
      </c>
      <c r="K97" s="634">
        <f t="shared" si="34"/>
        <v>-933.45</v>
      </c>
      <c r="L97" s="635">
        <f t="shared" si="35"/>
        <v>-0.25472</v>
      </c>
      <c r="N97" s="634">
        <f t="shared" si="36"/>
        <v>273.12299999999999</v>
      </c>
      <c r="O97" s="634">
        <f t="shared" si="32"/>
        <v>3277.4760000000001</v>
      </c>
    </row>
    <row r="98" spans="1:15" x14ac:dyDescent="0.25">
      <c r="A98" s="628"/>
      <c r="B98" s="628"/>
      <c r="C98" s="628"/>
      <c r="D98" s="628"/>
      <c r="E98" s="628"/>
      <c r="F98" s="628"/>
      <c r="G98" s="628" t="s">
        <v>185</v>
      </c>
      <c r="H98" s="628"/>
      <c r="I98" s="678">
        <v>6082.56</v>
      </c>
      <c r="J98" s="678">
        <v>7371</v>
      </c>
      <c r="K98" s="634">
        <f t="shared" si="34"/>
        <v>-1288.44</v>
      </c>
      <c r="L98" s="635">
        <f t="shared" si="35"/>
        <v>-0.17480000000000001</v>
      </c>
      <c r="N98" s="634">
        <f t="shared" si="36"/>
        <v>608.25600000000009</v>
      </c>
      <c r="O98" s="634">
        <f t="shared" si="32"/>
        <v>7299.0720000000001</v>
      </c>
    </row>
    <row r="99" spans="1:15" x14ac:dyDescent="0.25">
      <c r="A99" s="628"/>
      <c r="B99" s="628"/>
      <c r="C99" s="628"/>
      <c r="D99" s="628"/>
      <c r="E99" s="628"/>
      <c r="F99" s="628"/>
      <c r="G99" s="628" t="s">
        <v>186</v>
      </c>
      <c r="H99" s="628"/>
      <c r="I99" s="678">
        <v>678.5</v>
      </c>
      <c r="J99" s="678">
        <v>9480.23</v>
      </c>
      <c r="K99" s="634">
        <f t="shared" si="34"/>
        <v>-8801.73</v>
      </c>
      <c r="L99" s="635">
        <f t="shared" si="35"/>
        <v>-0.92842999999999998</v>
      </c>
      <c r="N99" s="634">
        <f t="shared" si="36"/>
        <v>67.849999999999994</v>
      </c>
      <c r="O99" s="634">
        <f t="shared" si="32"/>
        <v>814.2</v>
      </c>
    </row>
    <row r="100" spans="1:15" ht="15.75" thickBot="1" x14ac:dyDescent="0.3">
      <c r="A100" s="628"/>
      <c r="B100" s="628"/>
      <c r="C100" s="628"/>
      <c r="D100" s="628"/>
      <c r="E100" s="628"/>
      <c r="F100" s="628"/>
      <c r="G100" s="628" t="s">
        <v>187</v>
      </c>
      <c r="H100" s="628"/>
      <c r="I100" s="679">
        <v>16957.95</v>
      </c>
      <c r="J100" s="679">
        <v>17489.86</v>
      </c>
      <c r="K100" s="636">
        <f t="shared" si="34"/>
        <v>-531.91</v>
      </c>
      <c r="L100" s="637">
        <f t="shared" si="35"/>
        <v>-3.041E-2</v>
      </c>
      <c r="N100" s="636">
        <f t="shared" si="36"/>
        <v>1695.7950000000001</v>
      </c>
      <c r="O100" s="636">
        <f t="shared" si="32"/>
        <v>20349.54</v>
      </c>
    </row>
    <row r="101" spans="1:15" x14ac:dyDescent="0.25">
      <c r="A101" s="628"/>
      <c r="B101" s="628"/>
      <c r="C101" s="628"/>
      <c r="D101" s="628"/>
      <c r="E101" s="628"/>
      <c r="F101" s="628" t="s">
        <v>188</v>
      </c>
      <c r="G101" s="628"/>
      <c r="H101" s="628"/>
      <c r="I101" s="634">
        <f>ROUND(SUM(I94:I100),5)</f>
        <v>43593.99</v>
      </c>
      <c r="J101" s="634">
        <f>ROUND(SUM(J94:J100),5)</f>
        <v>55291.76</v>
      </c>
      <c r="K101" s="634">
        <f t="shared" si="34"/>
        <v>-11697.77</v>
      </c>
      <c r="L101" s="635">
        <f t="shared" si="35"/>
        <v>-0.21156</v>
      </c>
      <c r="N101" s="634">
        <f>ROUND(SUM(N94:N100),5)</f>
        <v>4359.3990000000003</v>
      </c>
      <c r="O101" s="634">
        <f>ROUND(SUM(O94:O100),5)</f>
        <v>52312.788</v>
      </c>
    </row>
    <row r="102" spans="1:15" x14ac:dyDescent="0.25">
      <c r="A102" s="628"/>
      <c r="B102" s="628"/>
      <c r="C102" s="628"/>
      <c r="D102" s="628"/>
      <c r="E102" s="628"/>
      <c r="F102" s="628" t="s">
        <v>189</v>
      </c>
      <c r="G102" s="628"/>
      <c r="H102" s="628"/>
      <c r="I102" s="634"/>
      <c r="J102" s="634"/>
      <c r="K102" s="634"/>
      <c r="L102" s="635"/>
      <c r="N102" s="634"/>
      <c r="O102" s="634"/>
    </row>
    <row r="103" spans="1:15" x14ac:dyDescent="0.25">
      <c r="A103" s="628"/>
      <c r="B103" s="628"/>
      <c r="C103" s="628"/>
      <c r="D103" s="628"/>
      <c r="E103" s="628"/>
      <c r="F103" s="628"/>
      <c r="G103" s="628" t="s">
        <v>190</v>
      </c>
      <c r="H103" s="628"/>
      <c r="I103" s="678">
        <v>66707.600000000006</v>
      </c>
      <c r="J103" s="678">
        <v>650</v>
      </c>
      <c r="K103" s="634">
        <f t="shared" ref="K103:K112" si="37">ROUND((I103-J103),5)</f>
        <v>66057.600000000006</v>
      </c>
      <c r="L103" s="635">
        <f t="shared" ref="L103:L112" si="38">ROUND(IF(I103=0, IF(J103=0, 0, SIGN(-J103)), IF(J103=0, SIGN(I103), (I103-J103)/ABS(J103))),5)</f>
        <v>101.62708000000001</v>
      </c>
      <c r="N103" s="634">
        <f t="shared" ref="N103:N107" si="39">+I103/10</f>
        <v>6670.76</v>
      </c>
      <c r="O103" s="634">
        <f t="shared" si="32"/>
        <v>80049.12000000001</v>
      </c>
    </row>
    <row r="104" spans="1:15" x14ac:dyDescent="0.25">
      <c r="A104" s="628"/>
      <c r="B104" s="628"/>
      <c r="C104" s="628"/>
      <c r="D104" s="628"/>
      <c r="E104" s="628"/>
      <c r="F104" s="628"/>
      <c r="G104" s="628" t="s">
        <v>191</v>
      </c>
      <c r="H104" s="628"/>
      <c r="I104" s="678">
        <v>45268.83</v>
      </c>
      <c r="J104" s="678">
        <v>68499.34</v>
      </c>
      <c r="K104" s="634">
        <f t="shared" si="37"/>
        <v>-23230.51</v>
      </c>
      <c r="L104" s="635">
        <f t="shared" si="38"/>
        <v>-0.33912999999999999</v>
      </c>
      <c r="N104" s="634">
        <f t="shared" si="39"/>
        <v>4526.8829999999998</v>
      </c>
      <c r="O104" s="634">
        <f t="shared" si="32"/>
        <v>54322.596000000005</v>
      </c>
    </row>
    <row r="105" spans="1:15" x14ac:dyDescent="0.25">
      <c r="A105" s="628"/>
      <c r="B105" s="628"/>
      <c r="C105" s="628"/>
      <c r="D105" s="628"/>
      <c r="E105" s="628"/>
      <c r="F105" s="628"/>
      <c r="G105" s="628" t="s">
        <v>193</v>
      </c>
      <c r="H105" s="628"/>
      <c r="I105" s="634">
        <v>28.64</v>
      </c>
      <c r="J105" s="678">
        <v>6029.99</v>
      </c>
      <c r="K105" s="634">
        <f t="shared" si="37"/>
        <v>-6001.35</v>
      </c>
      <c r="L105" s="635">
        <f t="shared" si="38"/>
        <v>-0.99524999999999997</v>
      </c>
      <c r="N105" s="634">
        <f t="shared" si="39"/>
        <v>2.8639999999999999</v>
      </c>
      <c r="O105" s="634">
        <f t="shared" si="32"/>
        <v>34.368000000000002</v>
      </c>
    </row>
    <row r="106" spans="1:15" x14ac:dyDescent="0.25">
      <c r="A106" s="628"/>
      <c r="B106" s="628"/>
      <c r="C106" s="628"/>
      <c r="D106" s="628"/>
      <c r="E106" s="628"/>
      <c r="F106" s="628"/>
      <c r="G106" s="628" t="s">
        <v>194</v>
      </c>
      <c r="H106" s="628"/>
      <c r="I106" s="634"/>
      <c r="J106" s="678">
        <v>172.69</v>
      </c>
      <c r="K106" s="634">
        <f t="shared" si="37"/>
        <v>-172.69</v>
      </c>
      <c r="L106" s="635">
        <f t="shared" si="38"/>
        <v>-1</v>
      </c>
      <c r="N106" s="634">
        <f t="shared" si="39"/>
        <v>0</v>
      </c>
      <c r="O106" s="634">
        <f t="shared" si="32"/>
        <v>0</v>
      </c>
    </row>
    <row r="107" spans="1:15" ht="15.75" thickBot="1" x14ac:dyDescent="0.3">
      <c r="A107" s="628"/>
      <c r="B107" s="628"/>
      <c r="C107" s="628"/>
      <c r="D107" s="628"/>
      <c r="E107" s="628"/>
      <c r="F107" s="628"/>
      <c r="G107" s="628" t="s">
        <v>197</v>
      </c>
      <c r="H107" s="628"/>
      <c r="I107" s="634"/>
      <c r="J107" s="678">
        <v>586.55999999999995</v>
      </c>
      <c r="K107" s="634">
        <f t="shared" si="37"/>
        <v>-586.55999999999995</v>
      </c>
      <c r="L107" s="635">
        <f t="shared" si="38"/>
        <v>-1</v>
      </c>
      <c r="N107" s="634">
        <f t="shared" si="39"/>
        <v>0</v>
      </c>
      <c r="O107" s="634">
        <f t="shared" si="32"/>
        <v>0</v>
      </c>
    </row>
    <row r="108" spans="1:15" ht="15.75" thickBot="1" x14ac:dyDescent="0.3">
      <c r="A108" s="628"/>
      <c r="B108" s="628"/>
      <c r="C108" s="628"/>
      <c r="D108" s="628"/>
      <c r="E108" s="628"/>
      <c r="F108" s="628" t="s">
        <v>196</v>
      </c>
      <c r="G108" s="628"/>
      <c r="H108" s="628"/>
      <c r="I108" s="640">
        <f>ROUND(SUM(I102:I107),5)</f>
        <v>112005.07</v>
      </c>
      <c r="J108" s="640">
        <f>ROUND(SUM(J102:J107),5)</f>
        <v>75938.58</v>
      </c>
      <c r="K108" s="640">
        <f t="shared" si="37"/>
        <v>36066.49</v>
      </c>
      <c r="L108" s="641">
        <f t="shared" si="38"/>
        <v>0.47493999999999997</v>
      </c>
      <c r="N108" s="640">
        <f>ROUND(SUM(N102:N107),5)</f>
        <v>11200.507</v>
      </c>
      <c r="O108" s="640">
        <f>ROUND(SUM(O102:O107),5)</f>
        <v>134406.084</v>
      </c>
    </row>
    <row r="109" spans="1:15" x14ac:dyDescent="0.25">
      <c r="A109" s="628"/>
      <c r="B109" s="628"/>
      <c r="C109" s="628"/>
      <c r="D109" s="628"/>
      <c r="E109" s="628" t="s">
        <v>199</v>
      </c>
      <c r="F109" s="628"/>
      <c r="G109" s="628"/>
      <c r="H109" s="628"/>
      <c r="I109" s="634">
        <f>ROUND(I87+I93+I101+I108,5)</f>
        <v>158972.20000000001</v>
      </c>
      <c r="J109" s="634">
        <f>ROUND(J87+J93+J101+J108,5)</f>
        <v>133369.04999999999</v>
      </c>
      <c r="K109" s="634">
        <f t="shared" si="37"/>
        <v>25603.15</v>
      </c>
      <c r="L109" s="635">
        <f t="shared" si="38"/>
        <v>0.19197</v>
      </c>
      <c r="N109" s="634">
        <f>ROUND(N87+N93+N101+N108,5)</f>
        <v>15859.42</v>
      </c>
      <c r="O109" s="634">
        <f t="shared" si="32"/>
        <v>190691.04</v>
      </c>
    </row>
    <row r="110" spans="1:15" ht="15.75" thickBot="1" x14ac:dyDescent="0.3">
      <c r="A110" s="628"/>
      <c r="B110" s="628"/>
      <c r="C110" s="628"/>
      <c r="D110" s="628"/>
      <c r="E110" s="628" t="s">
        <v>200</v>
      </c>
      <c r="F110" s="628"/>
      <c r="G110" s="628"/>
      <c r="H110" s="628"/>
      <c r="I110" s="634">
        <f>(190000/12)*10</f>
        <v>158333.33333333334</v>
      </c>
      <c r="J110" s="678">
        <v>188859.76</v>
      </c>
      <c r="K110" s="634">
        <f t="shared" si="37"/>
        <v>-30526.426670000001</v>
      </c>
      <c r="L110" s="635">
        <f t="shared" si="38"/>
        <v>-0.16164000000000001</v>
      </c>
      <c r="N110" s="634">
        <f>+I110/10</f>
        <v>15833.333333333334</v>
      </c>
      <c r="O110" s="634">
        <f t="shared" si="32"/>
        <v>190000</v>
      </c>
    </row>
    <row r="111" spans="1:15" ht="15.75" thickBot="1" x14ac:dyDescent="0.3">
      <c r="A111" s="628"/>
      <c r="B111" s="628"/>
      <c r="C111" s="628"/>
      <c r="D111" s="628" t="s">
        <v>81</v>
      </c>
      <c r="E111" s="628"/>
      <c r="F111" s="628"/>
      <c r="G111" s="628"/>
      <c r="H111" s="628"/>
      <c r="I111" s="640">
        <f>ROUND(I34+I29+I86+SUM(I109:I110),5)</f>
        <v>944807.55333000002</v>
      </c>
      <c r="J111" s="640">
        <f>ROUND(J34+J29+J86+SUM(J109:J110),5)</f>
        <v>975725.21</v>
      </c>
      <c r="K111" s="640">
        <f t="shared" si="37"/>
        <v>-30917.65667</v>
      </c>
      <c r="L111" s="641">
        <f t="shared" si="38"/>
        <v>-3.1690000000000003E-2</v>
      </c>
      <c r="N111" s="640">
        <f>ROUND(N29+N86+SUM(N109:N110),5)</f>
        <v>62755.107329999999</v>
      </c>
      <c r="O111" s="640">
        <f>ROUND(O29+O86+SUM(O109:O110),5)</f>
        <v>769137.26399999997</v>
      </c>
    </row>
    <row r="112" spans="1:15" x14ac:dyDescent="0.25">
      <c r="A112" s="628"/>
      <c r="B112" s="628" t="s">
        <v>202</v>
      </c>
      <c r="C112" s="628"/>
      <c r="D112" s="628"/>
      <c r="E112" s="628"/>
      <c r="F112" s="628"/>
      <c r="G112" s="628"/>
      <c r="H112" s="628"/>
      <c r="I112" s="634">
        <f>ROUND(I3+I28-I111,5)</f>
        <v>162594.79667000001</v>
      </c>
      <c r="J112" s="634">
        <f>ROUND(J3+J28-J111,5)</f>
        <v>673313.17</v>
      </c>
      <c r="K112" s="634">
        <f t="shared" si="37"/>
        <v>-510718.37332999997</v>
      </c>
      <c r="L112" s="635">
        <f t="shared" si="38"/>
        <v>-0.75851999999999997</v>
      </c>
      <c r="N112" s="634">
        <f>ROUND(N3+N28-N111,5)</f>
        <v>158811.58966999999</v>
      </c>
      <c r="O112" s="634">
        <f>ROUND(O3+O28-O111,5)</f>
        <v>730310.48</v>
      </c>
    </row>
    <row r="113" spans="1:15" x14ac:dyDescent="0.25">
      <c r="A113" s="628"/>
      <c r="B113" s="628" t="s">
        <v>203</v>
      </c>
      <c r="C113" s="628"/>
      <c r="D113" s="628"/>
      <c r="E113" s="628"/>
      <c r="F113" s="628"/>
      <c r="G113" s="628"/>
      <c r="H113" s="628"/>
      <c r="I113" s="634"/>
      <c r="J113" s="634"/>
      <c r="K113" s="634"/>
      <c r="L113" s="635"/>
      <c r="N113" s="634"/>
      <c r="O113" s="634"/>
    </row>
    <row r="114" spans="1:15" x14ac:dyDescent="0.25">
      <c r="A114" s="628"/>
      <c r="B114" s="628"/>
      <c r="C114" s="628" t="s">
        <v>61</v>
      </c>
      <c r="D114" s="628"/>
      <c r="E114" s="628"/>
      <c r="F114" s="628"/>
      <c r="G114" s="628"/>
      <c r="H114" s="628"/>
      <c r="I114" s="634"/>
      <c r="J114" s="634"/>
      <c r="K114" s="634"/>
      <c r="L114" s="635"/>
      <c r="N114" s="634"/>
      <c r="O114" s="634"/>
    </row>
    <row r="115" spans="1:15" x14ac:dyDescent="0.25">
      <c r="A115" s="628"/>
      <c r="B115" s="628"/>
      <c r="C115" s="628"/>
      <c r="D115" s="628" t="s">
        <v>474</v>
      </c>
      <c r="E115" s="628"/>
      <c r="F115" s="628"/>
      <c r="G115" s="628"/>
      <c r="H115" s="628"/>
      <c r="I115" s="634"/>
      <c r="J115" s="634"/>
      <c r="K115" s="634"/>
      <c r="L115" s="635"/>
      <c r="N115" s="634"/>
      <c r="O115" s="634"/>
    </row>
    <row r="116" spans="1:15" x14ac:dyDescent="0.25">
      <c r="A116" s="628"/>
      <c r="B116" s="628"/>
      <c r="C116" s="628"/>
      <c r="D116" s="628"/>
      <c r="E116" s="628" t="s">
        <v>475</v>
      </c>
      <c r="F116" s="628"/>
      <c r="G116" s="628"/>
      <c r="H116" s="628"/>
      <c r="I116" s="678">
        <v>557409.39</v>
      </c>
      <c r="J116" s="678">
        <v>10723.73</v>
      </c>
      <c r="K116" s="634">
        <f>ROUND((I116-J116),5)</f>
        <v>546685.66</v>
      </c>
      <c r="L116" s="635">
        <f>ROUND(IF(I116=0, IF(J116=0, 0, SIGN(-J116)), IF(J116=0, SIGN(I116), (I116-J116)/ABS(J116))),5)</f>
        <v>50.979059999999997</v>
      </c>
      <c r="N116" s="634">
        <f>+N135+N145+N146+N147+N148</f>
        <v>446932.44</v>
      </c>
      <c r="O116" s="634">
        <f t="shared" si="32"/>
        <v>1451274.27</v>
      </c>
    </row>
    <row r="117" spans="1:15" x14ac:dyDescent="0.25">
      <c r="A117" s="628"/>
      <c r="B117" s="628"/>
      <c r="C117" s="628"/>
      <c r="D117" s="628"/>
      <c r="E117" s="628" t="s">
        <v>476</v>
      </c>
      <c r="F117" s="628"/>
      <c r="G117" s="628"/>
      <c r="H117" s="628"/>
      <c r="I117" s="678">
        <v>20000</v>
      </c>
      <c r="J117" s="678">
        <v>125804.83</v>
      </c>
      <c r="K117" s="634">
        <f>ROUND((I117-J117),5)</f>
        <v>-105804.83</v>
      </c>
      <c r="L117" s="635">
        <f>ROUND(IF(I117=0, IF(J117=0, 0, SIGN(-J117)), IF(J117=0, SIGN(I117), (I117-J117)/ABS(J117))),5)</f>
        <v>-0.84101999999999999</v>
      </c>
      <c r="N117" s="634"/>
      <c r="O117" s="634">
        <f t="shared" si="32"/>
        <v>20000</v>
      </c>
    </row>
    <row r="118" spans="1:15" x14ac:dyDescent="0.25">
      <c r="A118" s="628"/>
      <c r="B118" s="628"/>
      <c r="C118" s="628"/>
      <c r="D118" s="628"/>
      <c r="E118" s="680" t="s">
        <v>524</v>
      </c>
      <c r="F118" s="628"/>
      <c r="G118" s="628"/>
      <c r="H118" s="628"/>
      <c r="I118" s="678">
        <v>1000000</v>
      </c>
      <c r="J118" s="678"/>
      <c r="K118" s="634"/>
      <c r="L118" s="635"/>
      <c r="N118" s="634"/>
      <c r="O118" s="634">
        <f t="shared" si="32"/>
        <v>1000000</v>
      </c>
    </row>
    <row r="119" spans="1:15" x14ac:dyDescent="0.25">
      <c r="A119" s="628"/>
      <c r="B119" s="628"/>
      <c r="C119" s="628"/>
      <c r="D119" s="628"/>
      <c r="E119" s="628" t="s">
        <v>477</v>
      </c>
      <c r="F119" s="628"/>
      <c r="G119" s="628"/>
      <c r="H119" s="628"/>
      <c r="I119" s="678">
        <v>0</v>
      </c>
      <c r="J119" s="678">
        <v>634409.25</v>
      </c>
      <c r="K119" s="634">
        <f>ROUND((I119-J119),5)</f>
        <v>-634409.25</v>
      </c>
      <c r="L119" s="635">
        <f>ROUND(IF(I119=0, IF(J119=0, 0, SIGN(-J119)), IF(J119=0, SIGN(I119), (I119-J119)/ABS(J119))),5)</f>
        <v>-1</v>
      </c>
      <c r="N119" s="634"/>
      <c r="O119" s="634">
        <v>300000</v>
      </c>
    </row>
    <row r="120" spans="1:15" ht="15.75" thickBot="1" x14ac:dyDescent="0.3">
      <c r="A120" s="628"/>
      <c r="B120" s="628"/>
      <c r="C120" s="628"/>
      <c r="D120" s="628"/>
      <c r="E120" s="680" t="s">
        <v>521</v>
      </c>
      <c r="F120" s="628"/>
      <c r="G120" s="628"/>
      <c r="H120" s="628"/>
      <c r="I120" s="679">
        <v>3199344.47</v>
      </c>
      <c r="J120" s="679">
        <v>1823321.83</v>
      </c>
      <c r="K120" s="636">
        <f>ROUND((I120-J120),5)</f>
        <v>1376022.64</v>
      </c>
      <c r="L120" s="637">
        <f>ROUND(IF(I120=0, IF(J120=0, 0, SIGN(-J120)), IF(J120=0, SIGN(I120), (I120-J120)/ABS(J120))),5)</f>
        <v>0.75468000000000002</v>
      </c>
      <c r="N120" s="636"/>
      <c r="O120" s="636">
        <f t="shared" si="32"/>
        <v>3199344.47</v>
      </c>
    </row>
    <row r="121" spans="1:15" x14ac:dyDescent="0.25">
      <c r="A121" s="628"/>
      <c r="B121" s="628"/>
      <c r="C121" s="628"/>
      <c r="D121" s="628" t="s">
        <v>478</v>
      </c>
      <c r="E121" s="628"/>
      <c r="F121" s="628"/>
      <c r="G121" s="628"/>
      <c r="H121" s="628"/>
      <c r="I121" s="634">
        <f>ROUND(SUM(I115:I120),5)</f>
        <v>4776753.8600000003</v>
      </c>
      <c r="J121" s="634">
        <f>ROUND(SUM(J115:J120),5)</f>
        <v>2594259.64</v>
      </c>
      <c r="K121" s="634">
        <f>ROUND((I121-J121),5)</f>
        <v>2182494.2200000002</v>
      </c>
      <c r="L121" s="635">
        <f>ROUND(IF(I121=0, IF(J121=0, 0, SIGN(-J121)), IF(J121=0, SIGN(I121), (I121-J121)/ABS(J121))),5)</f>
        <v>0.84128000000000003</v>
      </c>
      <c r="N121" s="634">
        <f>ROUND(SUM(N115:N120),5)</f>
        <v>446932.44</v>
      </c>
      <c r="O121" s="634">
        <f>ROUND(SUM(O115:O120),5)</f>
        <v>5970618.7400000002</v>
      </c>
    </row>
    <row r="122" spans="1:15" x14ac:dyDescent="0.25">
      <c r="A122" s="628"/>
      <c r="B122" s="628"/>
      <c r="C122" s="628"/>
      <c r="D122" s="628" t="s">
        <v>204</v>
      </c>
      <c r="E122" s="628"/>
      <c r="F122" s="628"/>
      <c r="G122" s="628"/>
      <c r="H122" s="628"/>
      <c r="I122" s="634"/>
      <c r="J122" s="634"/>
      <c r="K122" s="634"/>
      <c r="L122" s="635"/>
      <c r="N122" s="634"/>
      <c r="O122" s="634"/>
    </row>
    <row r="123" spans="1:15" x14ac:dyDescent="0.25">
      <c r="A123" s="628"/>
      <c r="B123" s="628"/>
      <c r="C123" s="628"/>
      <c r="D123" s="628"/>
      <c r="E123" s="628" t="s">
        <v>479</v>
      </c>
      <c r="F123" s="628"/>
      <c r="G123" s="628"/>
      <c r="H123" s="628"/>
      <c r="I123" s="634"/>
      <c r="J123" s="634"/>
      <c r="K123" s="634"/>
      <c r="L123" s="635"/>
      <c r="N123" s="634"/>
      <c r="O123" s="634"/>
    </row>
    <row r="124" spans="1:15" x14ac:dyDescent="0.25">
      <c r="A124" s="628"/>
      <c r="B124" s="628"/>
      <c r="C124" s="628"/>
      <c r="D124" s="628"/>
      <c r="E124" s="628"/>
      <c r="F124" s="680" t="s">
        <v>208</v>
      </c>
      <c r="G124" s="628"/>
      <c r="H124" s="628"/>
      <c r="I124" s="678">
        <v>27650.37</v>
      </c>
      <c r="J124" s="678">
        <v>26552.13</v>
      </c>
      <c r="K124" s="634">
        <f t="shared" ref="K124:K132" si="40">ROUND((I124-J124),5)</f>
        <v>1098.24</v>
      </c>
      <c r="L124" s="635">
        <f t="shared" ref="L124:L132" si="41">ROUND(IF(I124=0, IF(J124=0, 0, SIGN(-J124)), IF(J124=0, SIGN(I124), (I124-J124)/ABS(J124))),5)</f>
        <v>4.1360000000000001E-2</v>
      </c>
      <c r="N124" s="634">
        <f t="shared" ref="N124:N127" si="42">+I124/10</f>
        <v>2765.0369999999998</v>
      </c>
      <c r="O124" s="634">
        <f t="shared" si="32"/>
        <v>33180.443999999996</v>
      </c>
    </row>
    <row r="125" spans="1:15" x14ac:dyDescent="0.25">
      <c r="A125" s="628"/>
      <c r="B125" s="628"/>
      <c r="C125" s="628"/>
      <c r="D125" s="628"/>
      <c r="E125" s="628"/>
      <c r="F125" s="680" t="s">
        <v>207</v>
      </c>
      <c r="G125" s="628"/>
      <c r="H125" s="628"/>
      <c r="I125" s="678">
        <v>4597.42</v>
      </c>
      <c r="J125" s="678">
        <v>0</v>
      </c>
      <c r="K125" s="634"/>
      <c r="L125" s="635"/>
      <c r="N125" s="634">
        <f t="shared" ref="N125:N126" si="43">+I125/10</f>
        <v>459.74200000000002</v>
      </c>
      <c r="O125" s="634">
        <f t="shared" ref="O125:O126" si="44">+I125+(N125*2)</f>
        <v>5516.9040000000005</v>
      </c>
    </row>
    <row r="126" spans="1:15" x14ac:dyDescent="0.25">
      <c r="A126" s="628"/>
      <c r="B126" s="628"/>
      <c r="C126" s="628"/>
      <c r="D126" s="628"/>
      <c r="E126" s="628"/>
      <c r="F126" s="680" t="s">
        <v>206</v>
      </c>
      <c r="G126" s="628"/>
      <c r="H126" s="628"/>
      <c r="I126" s="678">
        <v>102865.38</v>
      </c>
      <c r="J126" s="678">
        <v>147480.93</v>
      </c>
      <c r="K126" s="634"/>
      <c r="L126" s="635"/>
      <c r="N126" s="634">
        <f t="shared" si="43"/>
        <v>10286.538</v>
      </c>
      <c r="O126" s="634">
        <f t="shared" si="44"/>
        <v>123438.45600000001</v>
      </c>
    </row>
    <row r="127" spans="1:15" ht="15.75" thickBot="1" x14ac:dyDescent="0.3">
      <c r="A127" s="628"/>
      <c r="B127" s="628"/>
      <c r="C127" s="628"/>
      <c r="D127" s="628"/>
      <c r="E127" s="628"/>
      <c r="F127" s="680" t="s">
        <v>522</v>
      </c>
      <c r="G127" s="628"/>
      <c r="H127" s="628"/>
      <c r="I127" s="679">
        <v>35557.129999999997</v>
      </c>
      <c r="J127" s="679">
        <v>194675.74</v>
      </c>
      <c r="K127" s="636">
        <f t="shared" si="40"/>
        <v>-159118.60999999999</v>
      </c>
      <c r="L127" s="637">
        <f t="shared" si="41"/>
        <v>-0.81735000000000002</v>
      </c>
      <c r="N127" s="636">
        <f t="shared" si="42"/>
        <v>3555.7129999999997</v>
      </c>
      <c r="O127" s="636">
        <f t="shared" si="32"/>
        <v>42668.555999999997</v>
      </c>
    </row>
    <row r="128" spans="1:15" x14ac:dyDescent="0.25">
      <c r="A128" s="628"/>
      <c r="B128" s="628"/>
      <c r="C128" s="628"/>
      <c r="D128" s="628"/>
      <c r="E128" s="628" t="s">
        <v>480</v>
      </c>
      <c r="F128" s="628"/>
      <c r="G128" s="628"/>
      <c r="H128" s="628"/>
      <c r="I128" s="634">
        <f>ROUND(SUM(I123:I127),5)</f>
        <v>170670.3</v>
      </c>
      <c r="J128" s="634">
        <f>ROUND(SUM(J123:J127),5)</f>
        <v>368708.8</v>
      </c>
      <c r="K128" s="634">
        <f t="shared" si="40"/>
        <v>-198038.5</v>
      </c>
      <c r="L128" s="635">
        <f t="shared" si="41"/>
        <v>-0.53710999999999998</v>
      </c>
      <c r="N128" s="634">
        <f>ROUND(SUM(N123:N127),5)</f>
        <v>17067.03</v>
      </c>
      <c r="O128" s="634">
        <f>ROUND(SUM(O123:O127),5)</f>
        <v>204804.36</v>
      </c>
    </row>
    <row r="129" spans="1:15" ht="15.75" thickBot="1" x14ac:dyDescent="0.3">
      <c r="A129" s="628"/>
      <c r="B129" s="628"/>
      <c r="C129" s="628"/>
      <c r="D129" s="628"/>
      <c r="E129" s="628" t="s">
        <v>205</v>
      </c>
      <c r="F129" s="628"/>
      <c r="G129" s="628"/>
      <c r="H129" s="628"/>
      <c r="I129" s="634">
        <v>1399482.25</v>
      </c>
      <c r="J129" s="634">
        <v>945479.35</v>
      </c>
      <c r="K129" s="634">
        <f t="shared" si="40"/>
        <v>454002.9</v>
      </c>
      <c r="L129" s="635">
        <f t="shared" si="41"/>
        <v>0.48018</v>
      </c>
      <c r="N129" s="634">
        <f>+I129/10</f>
        <v>139948.22500000001</v>
      </c>
      <c r="O129" s="634">
        <f t="shared" si="32"/>
        <v>1679378.7</v>
      </c>
    </row>
    <row r="130" spans="1:15" ht="15.75" thickBot="1" x14ac:dyDescent="0.3">
      <c r="A130" s="628"/>
      <c r="B130" s="628"/>
      <c r="C130" s="628"/>
      <c r="D130" s="628" t="s">
        <v>209</v>
      </c>
      <c r="E130" s="628"/>
      <c r="F130" s="628"/>
      <c r="G130" s="628"/>
      <c r="H130" s="628"/>
      <c r="I130" s="640">
        <f>ROUND(I122+SUM(I128:I129),5)</f>
        <v>1570152.55</v>
      </c>
      <c r="J130" s="640">
        <f>ROUND(J122+SUM(J128:J129),5)</f>
        <v>1314188.1499999999</v>
      </c>
      <c r="K130" s="640">
        <f t="shared" si="40"/>
        <v>255964.4</v>
      </c>
      <c r="L130" s="641">
        <f t="shared" si="41"/>
        <v>0.19477</v>
      </c>
      <c r="N130" s="640">
        <f>ROUND(N122+SUM(N128:N129),5)</f>
        <v>157015.255</v>
      </c>
      <c r="O130" s="640">
        <f>ROUND(O122+SUM(O128:O129),5)</f>
        <v>1884183.06</v>
      </c>
    </row>
    <row r="131" spans="1:15" x14ac:dyDescent="0.25">
      <c r="A131" s="628"/>
      <c r="B131" s="628"/>
      <c r="C131" s="628"/>
      <c r="D131" s="680" t="s">
        <v>525</v>
      </c>
      <c r="E131" s="628"/>
      <c r="F131" s="628"/>
      <c r="G131" s="628"/>
      <c r="H131" s="628"/>
      <c r="I131" s="634">
        <v>5042</v>
      </c>
      <c r="J131" s="634"/>
      <c r="K131" s="634"/>
      <c r="L131" s="635"/>
      <c r="N131" s="634"/>
      <c r="O131" s="634">
        <f>+I131</f>
        <v>5042</v>
      </c>
    </row>
    <row r="132" spans="1:15" ht="15.75" thickBot="1" x14ac:dyDescent="0.3">
      <c r="A132" s="628"/>
      <c r="B132" s="628"/>
      <c r="C132" s="628" t="s">
        <v>210</v>
      </c>
      <c r="D132" s="628"/>
      <c r="E132" s="628"/>
      <c r="F132" s="628"/>
      <c r="G132" s="628"/>
      <c r="H132" s="628"/>
      <c r="I132" s="685">
        <f>ROUND(I114+I121+I130+I131,5)</f>
        <v>6351948.4100000001</v>
      </c>
      <c r="J132" s="685">
        <f>ROUND(J114+J121+J130,5)</f>
        <v>3908447.79</v>
      </c>
      <c r="K132" s="685">
        <f t="shared" si="40"/>
        <v>2443500.62</v>
      </c>
      <c r="L132" s="686">
        <f t="shared" si="41"/>
        <v>0.62517999999999996</v>
      </c>
      <c r="N132" s="685">
        <f>ROUND(N114+N121+N130,5)</f>
        <v>603947.69499999995</v>
      </c>
      <c r="O132" s="685">
        <f>ROUND(O114+O121+O130+O131,5)</f>
        <v>7859843.7999999998</v>
      </c>
    </row>
    <row r="133" spans="1:15" ht="15.75" thickTop="1" x14ac:dyDescent="0.25">
      <c r="A133" s="628"/>
      <c r="B133" s="628"/>
      <c r="C133" s="628" t="s">
        <v>211</v>
      </c>
      <c r="D133" s="628"/>
      <c r="E133" s="628"/>
      <c r="F133" s="628"/>
      <c r="G133" s="628"/>
      <c r="H133" s="628"/>
      <c r="I133" s="634"/>
      <c r="J133" s="634"/>
      <c r="K133" s="634"/>
      <c r="L133" s="635"/>
      <c r="N133" s="634"/>
      <c r="O133" s="634"/>
    </row>
    <row r="134" spans="1:15" x14ac:dyDescent="0.25">
      <c r="A134" s="628"/>
      <c r="B134" s="628"/>
      <c r="C134" s="628"/>
      <c r="D134" s="628" t="s">
        <v>481</v>
      </c>
      <c r="E134" s="628"/>
      <c r="F134" s="628"/>
      <c r="G134" s="628"/>
      <c r="H134" s="628"/>
      <c r="I134" s="634"/>
      <c r="J134" s="634"/>
      <c r="K134" s="634"/>
      <c r="L134" s="635"/>
      <c r="N134" s="634"/>
      <c r="O134" s="634"/>
    </row>
    <row r="135" spans="1:15" x14ac:dyDescent="0.25">
      <c r="A135" s="628"/>
      <c r="B135" s="628"/>
      <c r="C135" s="628"/>
      <c r="D135" s="628"/>
      <c r="E135" s="628" t="s">
        <v>482</v>
      </c>
      <c r="F135" s="628"/>
      <c r="G135" s="628"/>
      <c r="H135" s="628"/>
      <c r="I135" s="678">
        <v>-14683.5</v>
      </c>
      <c r="J135" s="678">
        <v>0</v>
      </c>
      <c r="K135" s="634">
        <f t="shared" ref="K135:K149" si="45">ROUND((I135-J135),5)</f>
        <v>-14683.5</v>
      </c>
      <c r="L135" s="635">
        <f t="shared" ref="L135:L149" si="46">ROUND(IF(I135=0, IF(J135=0, 0, SIGN(-J135)), IF(J135=0, SIGN(I135), (I135-J135)/ABS(J135))),5)</f>
        <v>-1</v>
      </c>
      <c r="N135" s="634">
        <v>14683.5</v>
      </c>
      <c r="O135" s="634">
        <f>+I135+(N135)</f>
        <v>0</v>
      </c>
    </row>
    <row r="136" spans="1:15" x14ac:dyDescent="0.25">
      <c r="A136" s="628"/>
      <c r="B136" s="628"/>
      <c r="C136" s="628"/>
      <c r="D136" s="628"/>
      <c r="E136" s="628" t="s">
        <v>483</v>
      </c>
      <c r="F136" s="628"/>
      <c r="G136" s="628"/>
      <c r="H136" s="628"/>
      <c r="I136" s="678">
        <v>0</v>
      </c>
      <c r="J136" s="678">
        <v>0</v>
      </c>
      <c r="K136" s="634">
        <f t="shared" si="45"/>
        <v>0</v>
      </c>
      <c r="L136" s="635">
        <f t="shared" si="46"/>
        <v>0</v>
      </c>
      <c r="N136" s="634">
        <f t="shared" ref="N136:N144" si="47">+I136/10</f>
        <v>0</v>
      </c>
      <c r="O136" s="634">
        <f t="shared" si="32"/>
        <v>0</v>
      </c>
    </row>
    <row r="137" spans="1:15" x14ac:dyDescent="0.25">
      <c r="A137" s="628"/>
      <c r="B137" s="628"/>
      <c r="C137" s="628"/>
      <c r="D137" s="628"/>
      <c r="E137" s="628" t="s">
        <v>484</v>
      </c>
      <c r="F137" s="628"/>
      <c r="G137" s="628"/>
      <c r="H137" s="628"/>
      <c r="I137" s="678">
        <v>50726.61</v>
      </c>
      <c r="J137" s="678">
        <v>0</v>
      </c>
      <c r="K137" s="634">
        <f t="shared" si="45"/>
        <v>50726.61</v>
      </c>
      <c r="L137" s="635">
        <f t="shared" si="46"/>
        <v>1</v>
      </c>
      <c r="N137" s="634">
        <v>0</v>
      </c>
      <c r="O137" s="634">
        <f t="shared" si="32"/>
        <v>50726.61</v>
      </c>
    </row>
    <row r="138" spans="1:15" x14ac:dyDescent="0.25">
      <c r="A138" s="628"/>
      <c r="B138" s="628"/>
      <c r="C138" s="628"/>
      <c r="D138" s="628"/>
      <c r="E138" s="628" t="s">
        <v>485</v>
      </c>
      <c r="F138" s="628"/>
      <c r="G138" s="628"/>
      <c r="H138" s="628"/>
      <c r="I138" s="678">
        <v>4280</v>
      </c>
      <c r="J138" s="678">
        <v>0</v>
      </c>
      <c r="K138" s="634">
        <f t="shared" si="45"/>
        <v>4280</v>
      </c>
      <c r="L138" s="635">
        <f t="shared" si="46"/>
        <v>1</v>
      </c>
      <c r="N138" s="634">
        <v>0</v>
      </c>
      <c r="O138" s="634">
        <f t="shared" si="32"/>
        <v>4280</v>
      </c>
    </row>
    <row r="139" spans="1:15" x14ac:dyDescent="0.25">
      <c r="A139" s="628"/>
      <c r="B139" s="628"/>
      <c r="C139" s="628"/>
      <c r="D139" s="628"/>
      <c r="E139" s="628" t="s">
        <v>486</v>
      </c>
      <c r="F139" s="628"/>
      <c r="G139" s="628"/>
      <c r="H139" s="628"/>
      <c r="I139" s="678">
        <v>25340.799999999999</v>
      </c>
      <c r="J139" s="678">
        <v>0</v>
      </c>
      <c r="K139" s="634">
        <f t="shared" si="45"/>
        <v>25340.799999999999</v>
      </c>
      <c r="L139" s="635">
        <f t="shared" si="46"/>
        <v>1</v>
      </c>
      <c r="N139" s="634">
        <v>0</v>
      </c>
      <c r="O139" s="634">
        <f t="shared" si="32"/>
        <v>25340.799999999999</v>
      </c>
    </row>
    <row r="140" spans="1:15" x14ac:dyDescent="0.25">
      <c r="A140" s="628"/>
      <c r="B140" s="628"/>
      <c r="C140" s="628"/>
      <c r="D140" s="628"/>
      <c r="E140" s="628" t="s">
        <v>487</v>
      </c>
      <c r="F140" s="628"/>
      <c r="G140" s="628"/>
      <c r="H140" s="628"/>
      <c r="I140" s="678">
        <v>0</v>
      </c>
      <c r="J140" s="678">
        <v>0</v>
      </c>
      <c r="K140" s="634">
        <f t="shared" si="45"/>
        <v>0</v>
      </c>
      <c r="L140" s="635">
        <f t="shared" si="46"/>
        <v>0</v>
      </c>
      <c r="N140" s="634">
        <f t="shared" si="47"/>
        <v>0</v>
      </c>
      <c r="O140" s="634">
        <f t="shared" si="32"/>
        <v>0</v>
      </c>
    </row>
    <row r="141" spans="1:15" x14ac:dyDescent="0.25">
      <c r="A141" s="628"/>
      <c r="B141" s="628"/>
      <c r="C141" s="628"/>
      <c r="D141" s="628"/>
      <c r="E141" s="628" t="s">
        <v>488</v>
      </c>
      <c r="F141" s="628"/>
      <c r="G141" s="628"/>
      <c r="H141" s="628"/>
      <c r="I141" s="678">
        <v>0</v>
      </c>
      <c r="J141" s="678">
        <v>0</v>
      </c>
      <c r="K141" s="634">
        <f t="shared" si="45"/>
        <v>0</v>
      </c>
      <c r="L141" s="635">
        <f t="shared" si="46"/>
        <v>0</v>
      </c>
      <c r="N141" s="634">
        <f t="shared" si="47"/>
        <v>0</v>
      </c>
      <c r="O141" s="634">
        <f t="shared" si="32"/>
        <v>0</v>
      </c>
    </row>
    <row r="142" spans="1:15" x14ac:dyDescent="0.25">
      <c r="A142" s="628"/>
      <c r="B142" s="628"/>
      <c r="C142" s="628"/>
      <c r="D142" s="628"/>
      <c r="E142" s="628" t="s">
        <v>489</v>
      </c>
      <c r="F142" s="628"/>
      <c r="G142" s="628"/>
      <c r="H142" s="628"/>
      <c r="I142" s="678">
        <v>7791973.25</v>
      </c>
      <c r="J142" s="678">
        <v>997569.59</v>
      </c>
      <c r="K142" s="634">
        <f t="shared" si="45"/>
        <v>6794403.6600000001</v>
      </c>
      <c r="L142" s="635">
        <f t="shared" si="46"/>
        <v>6.8109599999999997</v>
      </c>
      <c r="N142" s="634">
        <f t="shared" si="47"/>
        <v>779197.32499999995</v>
      </c>
      <c r="O142" s="634">
        <f>+I142+(N142*3)</f>
        <v>10129565.225</v>
      </c>
    </row>
    <row r="143" spans="1:15" x14ac:dyDescent="0.25">
      <c r="A143" s="628"/>
      <c r="B143" s="628"/>
      <c r="C143" s="628"/>
      <c r="D143" s="628"/>
      <c r="E143" s="628" t="s">
        <v>490</v>
      </c>
      <c r="F143" s="628"/>
      <c r="G143" s="628"/>
      <c r="H143" s="628"/>
      <c r="I143" s="678">
        <v>143865.69</v>
      </c>
      <c r="J143" s="678">
        <v>0</v>
      </c>
      <c r="K143" s="634">
        <f t="shared" si="45"/>
        <v>143865.69</v>
      </c>
      <c r="L143" s="635">
        <f t="shared" si="46"/>
        <v>1</v>
      </c>
      <c r="N143" s="634">
        <f t="shared" si="47"/>
        <v>14386.569</v>
      </c>
      <c r="O143" s="634">
        <f t="shared" si="32"/>
        <v>172638.82800000001</v>
      </c>
    </row>
    <row r="144" spans="1:15" x14ac:dyDescent="0.25">
      <c r="A144" s="628"/>
      <c r="B144" s="628"/>
      <c r="C144" s="628"/>
      <c r="D144" s="628"/>
      <c r="E144" s="628" t="s">
        <v>491</v>
      </c>
      <c r="F144" s="628"/>
      <c r="G144" s="628"/>
      <c r="H144" s="628"/>
      <c r="I144" s="678">
        <v>116716.4</v>
      </c>
      <c r="J144" s="678">
        <v>460770</v>
      </c>
      <c r="K144" s="634">
        <f t="shared" si="45"/>
        <v>-344053.6</v>
      </c>
      <c r="L144" s="635">
        <f t="shared" si="46"/>
        <v>-0.74668999999999996</v>
      </c>
      <c r="N144" s="634">
        <f t="shared" si="47"/>
        <v>11671.64</v>
      </c>
      <c r="O144" s="634">
        <f t="shared" si="32"/>
        <v>140059.68</v>
      </c>
    </row>
    <row r="145" spans="1:15" x14ac:dyDescent="0.25">
      <c r="A145" s="628"/>
      <c r="B145" s="628"/>
      <c r="C145" s="628"/>
      <c r="D145" s="628"/>
      <c r="E145" s="628" t="s">
        <v>492</v>
      </c>
      <c r="F145" s="628"/>
      <c r="G145" s="628"/>
      <c r="H145" s="628"/>
      <c r="I145" s="678">
        <v>-416262.64</v>
      </c>
      <c r="J145" s="678">
        <v>10039.32</v>
      </c>
      <c r="K145" s="634">
        <f t="shared" si="45"/>
        <v>-426301.96</v>
      </c>
      <c r="L145" s="635">
        <f t="shared" si="46"/>
        <v>-42.463230000000003</v>
      </c>
      <c r="N145" s="634">
        <v>416262.64</v>
      </c>
      <c r="O145" s="634">
        <f>+I145+(N145)</f>
        <v>0</v>
      </c>
    </row>
    <row r="146" spans="1:15" x14ac:dyDescent="0.25">
      <c r="A146" s="628"/>
      <c r="B146" s="628"/>
      <c r="C146" s="628"/>
      <c r="D146" s="628"/>
      <c r="E146" s="628" t="s">
        <v>493</v>
      </c>
      <c r="F146" s="628"/>
      <c r="G146" s="628"/>
      <c r="H146" s="628"/>
      <c r="I146" s="678">
        <v>-13851.3</v>
      </c>
      <c r="J146" s="678">
        <v>0</v>
      </c>
      <c r="K146" s="634">
        <f t="shared" si="45"/>
        <v>-13851.3</v>
      </c>
      <c r="L146" s="635">
        <f t="shared" si="46"/>
        <v>-1</v>
      </c>
      <c r="N146" s="634">
        <v>13851.3</v>
      </c>
      <c r="O146" s="634">
        <f t="shared" ref="O146:O148" si="48">+I146+(N146)</f>
        <v>0</v>
      </c>
    </row>
    <row r="147" spans="1:15" x14ac:dyDescent="0.25">
      <c r="A147" s="628"/>
      <c r="B147" s="628"/>
      <c r="C147" s="628"/>
      <c r="D147" s="628"/>
      <c r="E147" s="628" t="s">
        <v>494</v>
      </c>
      <c r="F147" s="628"/>
      <c r="G147" s="628"/>
      <c r="H147" s="628"/>
      <c r="I147" s="678">
        <v>-2000</v>
      </c>
      <c r="J147" s="678">
        <v>15724.25</v>
      </c>
      <c r="K147" s="634">
        <f t="shared" si="45"/>
        <v>-17724.25</v>
      </c>
      <c r="L147" s="635">
        <f t="shared" si="46"/>
        <v>-1.1271899999999999</v>
      </c>
      <c r="N147" s="634">
        <v>2000</v>
      </c>
      <c r="O147" s="634">
        <f t="shared" si="48"/>
        <v>0</v>
      </c>
    </row>
    <row r="148" spans="1:15" ht="15.75" thickBot="1" x14ac:dyDescent="0.3">
      <c r="A148" s="628"/>
      <c r="B148" s="628"/>
      <c r="C148" s="628"/>
      <c r="D148" s="628"/>
      <c r="E148" s="628" t="s">
        <v>495</v>
      </c>
      <c r="F148" s="628"/>
      <c r="G148" s="628"/>
      <c r="H148" s="628"/>
      <c r="I148" s="679">
        <v>-135</v>
      </c>
      <c r="J148" s="679">
        <v>0</v>
      </c>
      <c r="K148" s="636">
        <f t="shared" si="45"/>
        <v>-135</v>
      </c>
      <c r="L148" s="637">
        <f t="shared" si="46"/>
        <v>-1</v>
      </c>
      <c r="N148" s="636">
        <v>135</v>
      </c>
      <c r="O148" s="636">
        <f t="shared" si="48"/>
        <v>0</v>
      </c>
    </row>
    <row r="149" spans="1:15" x14ac:dyDescent="0.25">
      <c r="A149" s="628"/>
      <c r="B149" s="628"/>
      <c r="C149" s="628"/>
      <c r="D149" s="628" t="s">
        <v>496</v>
      </c>
      <c r="E149" s="628"/>
      <c r="F149" s="628"/>
      <c r="G149" s="628"/>
      <c r="H149" s="628"/>
      <c r="I149" s="634">
        <f>ROUND(SUM(I134:I148),5)</f>
        <v>7685970.3099999996</v>
      </c>
      <c r="J149" s="634">
        <f>ROUND(SUM(J134:J148),5)</f>
        <v>1484103.16</v>
      </c>
      <c r="K149" s="634">
        <f t="shared" si="45"/>
        <v>6201867.1500000004</v>
      </c>
      <c r="L149" s="635">
        <f t="shared" si="46"/>
        <v>4.1788699999999999</v>
      </c>
      <c r="N149" s="634">
        <f>ROUND(SUM(N134:N148),5)</f>
        <v>1252187.9739999999</v>
      </c>
      <c r="O149" s="634">
        <f>ROUND(SUM(O134:O148),5)</f>
        <v>10522611.142999999</v>
      </c>
    </row>
    <row r="150" spans="1:15" x14ac:dyDescent="0.25">
      <c r="A150" s="628"/>
      <c r="B150" s="628"/>
      <c r="C150" s="628"/>
      <c r="D150" s="628" t="s">
        <v>212</v>
      </c>
      <c r="E150" s="628"/>
      <c r="F150" s="628"/>
      <c r="G150" s="628"/>
      <c r="H150" s="628"/>
      <c r="I150" s="634"/>
      <c r="J150" s="634"/>
      <c r="K150" s="634"/>
      <c r="L150" s="635"/>
      <c r="N150" s="634"/>
      <c r="O150" s="634"/>
    </row>
    <row r="151" spans="1:15" x14ac:dyDescent="0.25">
      <c r="A151" s="628"/>
      <c r="B151" s="628"/>
      <c r="C151" s="628"/>
      <c r="D151" s="628"/>
      <c r="E151" s="628" t="s">
        <v>214</v>
      </c>
      <c r="F151" s="628"/>
      <c r="G151" s="628"/>
      <c r="H151" s="628"/>
      <c r="I151" s="634">
        <v>289038.83</v>
      </c>
      <c r="J151" s="678">
        <v>-4811.08</v>
      </c>
      <c r="K151" s="634">
        <f t="shared" ref="K151:K158" si="49">ROUND((I151-J151),5)</f>
        <v>293849.90999999997</v>
      </c>
      <c r="L151" s="635">
        <f t="shared" ref="L151:L158" si="50">ROUND(IF(I151=0, IF(J151=0, 0, SIGN(-J151)), IF(J151=0, SIGN(I151), (I151-J151)/ABS(J151))),5)</f>
        <v>61.077739999999999</v>
      </c>
      <c r="N151" s="634">
        <f t="shared" ref="N151:N153" si="51">+I151/10</f>
        <v>28903.883000000002</v>
      </c>
      <c r="O151" s="634">
        <f t="shared" ref="O151:O155" si="52">+I151+(N151*2)</f>
        <v>346846.59600000002</v>
      </c>
    </row>
    <row r="152" spans="1:15" x14ac:dyDescent="0.25">
      <c r="A152" s="628"/>
      <c r="B152" s="628"/>
      <c r="C152" s="628"/>
      <c r="D152" s="628"/>
      <c r="E152" s="628" t="s">
        <v>213</v>
      </c>
      <c r="F152" s="628"/>
      <c r="G152" s="628"/>
      <c r="H152" s="628"/>
      <c r="I152" s="634">
        <v>0</v>
      </c>
      <c r="J152" s="634">
        <v>0</v>
      </c>
      <c r="K152" s="634">
        <f t="shared" si="49"/>
        <v>0</v>
      </c>
      <c r="L152" s="635">
        <f t="shared" si="50"/>
        <v>0</v>
      </c>
      <c r="N152" s="634">
        <f t="shared" si="51"/>
        <v>0</v>
      </c>
      <c r="O152" s="634">
        <f t="shared" si="52"/>
        <v>0</v>
      </c>
    </row>
    <row r="153" spans="1:15" ht="15.75" thickBot="1" x14ac:dyDescent="0.3">
      <c r="A153" s="628"/>
      <c r="B153" s="628"/>
      <c r="C153" s="628"/>
      <c r="D153" s="628"/>
      <c r="E153" s="628" t="s">
        <v>497</v>
      </c>
      <c r="F153" s="628"/>
      <c r="G153" s="628"/>
      <c r="H153" s="628"/>
      <c r="I153" s="636">
        <v>0</v>
      </c>
      <c r="J153" s="636">
        <v>0</v>
      </c>
      <c r="K153" s="636">
        <f t="shared" si="49"/>
        <v>0</v>
      </c>
      <c r="L153" s="637">
        <f t="shared" si="50"/>
        <v>0</v>
      </c>
      <c r="N153" s="636">
        <f t="shared" si="51"/>
        <v>0</v>
      </c>
      <c r="O153" s="636">
        <f t="shared" si="52"/>
        <v>0</v>
      </c>
    </row>
    <row r="154" spans="1:15" x14ac:dyDescent="0.25">
      <c r="A154" s="628"/>
      <c r="B154" s="628"/>
      <c r="C154" s="628"/>
      <c r="D154" s="628" t="s">
        <v>216</v>
      </c>
      <c r="E154" s="628"/>
      <c r="F154" s="628"/>
      <c r="G154" s="628"/>
      <c r="H154" s="628"/>
      <c r="I154" s="634">
        <f>ROUND(SUM(I150:I153),5)</f>
        <v>289038.83</v>
      </c>
      <c r="J154" s="634">
        <f>ROUND(SUM(J150:J153),5)</f>
        <v>-4811.08</v>
      </c>
      <c r="K154" s="634">
        <f t="shared" si="49"/>
        <v>293849.90999999997</v>
      </c>
      <c r="L154" s="635">
        <f t="shared" si="50"/>
        <v>61.077739999999999</v>
      </c>
      <c r="N154" s="634">
        <f>ROUND(SUM(N150:N153),5)</f>
        <v>28903.883000000002</v>
      </c>
      <c r="O154" s="634">
        <f>ROUND(SUM(O150:O153),5)</f>
        <v>346846.59600000002</v>
      </c>
    </row>
    <row r="155" spans="1:15" ht="15.75" thickBot="1" x14ac:dyDescent="0.3">
      <c r="A155" s="628"/>
      <c r="B155" s="628"/>
      <c r="C155" s="628"/>
      <c r="D155" s="628" t="s">
        <v>498</v>
      </c>
      <c r="E155" s="628"/>
      <c r="F155" s="628"/>
      <c r="G155" s="628"/>
      <c r="H155" s="628"/>
      <c r="I155" s="634">
        <v>0</v>
      </c>
      <c r="J155" s="634">
        <v>0</v>
      </c>
      <c r="K155" s="634">
        <f t="shared" si="49"/>
        <v>0</v>
      </c>
      <c r="L155" s="635">
        <f t="shared" si="50"/>
        <v>0</v>
      </c>
      <c r="N155" s="634">
        <v>0</v>
      </c>
      <c r="O155" s="634">
        <f t="shared" si="52"/>
        <v>0</v>
      </c>
    </row>
    <row r="156" spans="1:15" ht="15.75" thickBot="1" x14ac:dyDescent="0.3">
      <c r="A156" s="628"/>
      <c r="B156" s="628"/>
      <c r="C156" s="628" t="s">
        <v>217</v>
      </c>
      <c r="D156" s="628"/>
      <c r="E156" s="628"/>
      <c r="F156" s="628"/>
      <c r="G156" s="628"/>
      <c r="H156" s="628"/>
      <c r="I156" s="638">
        <f>ROUND(I133+I149+SUM(I154:I155),5)</f>
        <v>7975009.1399999997</v>
      </c>
      <c r="J156" s="638">
        <f>ROUND(J133+J149+SUM(J154:J155),5)</f>
        <v>1479292.08</v>
      </c>
      <c r="K156" s="638">
        <f t="shared" si="49"/>
        <v>6495717.0599999996</v>
      </c>
      <c r="L156" s="639">
        <f t="shared" si="50"/>
        <v>4.3910999999999998</v>
      </c>
      <c r="N156" s="638">
        <f>ROUND(N133+N149+SUM(N154:N155),5)</f>
        <v>1281091.8570000001</v>
      </c>
      <c r="O156" s="638">
        <f>ROUND(O133+O149+SUM(O154:O155),5)</f>
        <v>10869457.739</v>
      </c>
    </row>
    <row r="157" spans="1:15" ht="15.75" thickBot="1" x14ac:dyDescent="0.3">
      <c r="A157" s="628"/>
      <c r="B157" s="628" t="s">
        <v>218</v>
      </c>
      <c r="C157" s="628"/>
      <c r="D157" s="628"/>
      <c r="E157" s="628"/>
      <c r="F157" s="628"/>
      <c r="G157" s="628"/>
      <c r="H157" s="628"/>
      <c r="I157" s="638">
        <f>ROUND(I113+I132-I156,5)</f>
        <v>-1623060.73</v>
      </c>
      <c r="J157" s="638">
        <f>ROUND(J113+J132-J156,5)</f>
        <v>2429155.71</v>
      </c>
      <c r="K157" s="638">
        <f t="shared" si="49"/>
        <v>-4052216.44</v>
      </c>
      <c r="L157" s="639">
        <f t="shared" si="50"/>
        <v>-1.6681600000000001</v>
      </c>
      <c r="N157" s="638">
        <f>ROUND(N113+N132-N156,5)</f>
        <v>-677144.16200000001</v>
      </c>
      <c r="O157" s="638">
        <f>ROUND(O113+O132-O156,5)</f>
        <v>-3009613.9389999998</v>
      </c>
    </row>
    <row r="158" spans="1:15" s="644" customFormat="1" ht="12" thickBot="1" x14ac:dyDescent="0.25">
      <c r="A158" s="628" t="s">
        <v>226</v>
      </c>
      <c r="B158" s="628"/>
      <c r="C158" s="628"/>
      <c r="D158" s="628"/>
      <c r="E158" s="628"/>
      <c r="F158" s="628"/>
      <c r="G158" s="628"/>
      <c r="H158" s="628"/>
      <c r="I158" s="642">
        <f>ROUND(I112+I157,5)</f>
        <v>-1460465.9333299999</v>
      </c>
      <c r="J158" s="642">
        <f>ROUND(J112+J157,5)</f>
        <v>3102468.88</v>
      </c>
      <c r="K158" s="642">
        <f t="shared" si="49"/>
        <v>-4562934.8133300003</v>
      </c>
      <c r="L158" s="643">
        <f t="shared" si="50"/>
        <v>-1.4707399999999999</v>
      </c>
      <c r="N158" s="642">
        <f>ROUND(N112+N157,5)</f>
        <v>-518332.57233</v>
      </c>
      <c r="O158" s="642">
        <f>ROUND(O112+O157,5)</f>
        <v>-2279303.4589999998</v>
      </c>
    </row>
    <row r="159" spans="1:15" ht="15.75" thickTop="1" x14ac:dyDescent="0.25"/>
    <row r="160" spans="1:15" x14ac:dyDescent="0.25">
      <c r="J160" s="688"/>
    </row>
  </sheetData>
  <pageMargins left="0.7" right="0.7" top="0.75" bottom="0.75" header="0.1" footer="0.3"/>
  <pageSetup orientation="portrait" r:id="rId1"/>
  <headerFooter>
    <oddHeader>&amp;L&amp;"Arial,Bold"&amp;8 12:03 PM
&amp;"Arial,Bold"&amp;8 10/12/23
&amp;"Arial,Bold"&amp;8 Cash Basis&amp;C&amp;"Arial,Bold"&amp;12 Mountain Green Sewer Improvement District
&amp;"Arial,Bold"&amp;14 Profit &amp;&amp; Loss Prev Year Comparison
&amp;"Arial,Bold"&amp;10 January through December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1991042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11991042" r:id="rId4" name="HEADER"/>
      </mc:Fallback>
    </mc:AlternateContent>
    <mc:AlternateContent xmlns:mc="http://schemas.openxmlformats.org/markup-compatibility/2006">
      <mc:Choice Requires="x14">
        <control shapeId="11991041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11991041" r:id="rId6" name="FILTER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9925D-9E0F-4B65-A72C-BE40B2C46BEA}">
  <sheetPr codeName="Sheet2"/>
  <dimension ref="A1:F64"/>
  <sheetViews>
    <sheetView zoomScale="170" zoomScaleNormal="170" workbookViewId="0">
      <pane xSplit="2" ySplit="2" topLeftCell="C3" activePane="bottomRight" state="frozenSplit"/>
      <selection activeCell="D18" sqref="D18"/>
      <selection pane="topRight" activeCell="D18" sqref="D18"/>
      <selection pane="bottomLeft" activeCell="D18" sqref="D18"/>
      <selection pane="bottomRight" activeCell="D4" sqref="D4"/>
    </sheetView>
  </sheetViews>
  <sheetFormatPr defaultRowHeight="15" x14ac:dyDescent="0.25"/>
  <cols>
    <col min="1" max="1" width="57.7109375" style="644" bestFit="1" customWidth="1"/>
    <col min="2" max="2" width="3" style="644" customWidth="1"/>
    <col min="3" max="3" width="17.5703125" style="630" bestFit="1" customWidth="1"/>
    <col min="4" max="5" width="10.5703125" style="630" bestFit="1" customWidth="1"/>
    <col min="6" max="6" width="9.28515625" style="630" bestFit="1" customWidth="1"/>
    <col min="7" max="16384" width="9.140625" style="630"/>
  </cols>
  <sheetData>
    <row r="1" spans="1:6" ht="16.5" thickTop="1" thickBot="1" x14ac:dyDescent="0.3">
      <c r="A1" s="628"/>
      <c r="B1" s="628"/>
      <c r="C1" s="632" t="s">
        <v>538</v>
      </c>
      <c r="D1" s="632" t="s">
        <v>502</v>
      </c>
      <c r="E1" s="629"/>
      <c r="F1" s="629"/>
    </row>
    <row r="2" spans="1:6" s="633" customFormat="1" ht="16.5" thickTop="1" thickBot="1" x14ac:dyDescent="0.3">
      <c r="A2" s="631"/>
      <c r="B2" s="631"/>
      <c r="C2" s="632" t="s">
        <v>515</v>
      </c>
      <c r="D2" s="632" t="s">
        <v>515</v>
      </c>
      <c r="E2" s="632" t="s">
        <v>461</v>
      </c>
      <c r="F2" s="632" t="s">
        <v>462</v>
      </c>
    </row>
    <row r="3" spans="1:6" ht="17.25" thickTop="1" thickBot="1" x14ac:dyDescent="0.3">
      <c r="A3" s="675" t="str">
        <f>+'2025 General'!A7</f>
        <v>INCOME</v>
      </c>
      <c r="C3" s="695"/>
      <c r="D3" s="695"/>
      <c r="E3" s="695"/>
      <c r="F3" s="695"/>
    </row>
    <row r="4" spans="1:6" x14ac:dyDescent="0.25">
      <c r="A4" s="137" t="str">
        <f>+'2025 General'!A8</f>
        <v xml:space="preserve">   Monthly Service Fees</v>
      </c>
      <c r="C4" s="696">
        <f>+'2025 General'!D8</f>
        <v>924000</v>
      </c>
      <c r="D4" s="696"/>
      <c r="E4" s="696"/>
      <c r="F4" s="696"/>
    </row>
    <row r="5" spans="1:6" x14ac:dyDescent="0.25">
      <c r="A5" s="137" t="str">
        <f>+'2025 General'!A9</f>
        <v xml:space="preserve">   Late Fees</v>
      </c>
      <c r="C5" s="696">
        <f>+'2025 General'!D9</f>
        <v>3000</v>
      </c>
      <c r="D5" s="696"/>
      <c r="E5" s="696"/>
      <c r="F5" s="696"/>
    </row>
    <row r="6" spans="1:6" x14ac:dyDescent="0.25">
      <c r="A6" s="137" t="str">
        <f>+'2025 General'!A10</f>
        <v xml:space="preserve">   New Lateral Inspections-NEW SUBDIVISION  FEE  - STANDBY</v>
      </c>
      <c r="C6" s="696">
        <f>+'2025 General'!D10</f>
        <v>80000</v>
      </c>
      <c r="D6" s="696"/>
      <c r="E6" s="696"/>
      <c r="F6" s="696"/>
    </row>
    <row r="7" spans="1:6" x14ac:dyDescent="0.25">
      <c r="A7" s="137" t="str">
        <f>+'2025 General'!A11</f>
        <v xml:space="preserve">   County Property Tax</v>
      </c>
      <c r="C7" s="696">
        <f>+'2025 General'!D11</f>
        <v>110000</v>
      </c>
      <c r="D7" s="696"/>
      <c r="E7" s="696"/>
      <c r="F7" s="696"/>
    </row>
    <row r="8" spans="1:6" x14ac:dyDescent="0.25">
      <c r="A8" s="137" t="str">
        <f>+'2025 General'!A12</f>
        <v xml:space="preserve">   Delinquent Property Taxes</v>
      </c>
      <c r="C8" s="696">
        <f>+'2025 General'!D12</f>
        <v>15000</v>
      </c>
      <c r="D8" s="696"/>
      <c r="E8" s="696"/>
      <c r="F8" s="696"/>
    </row>
    <row r="9" spans="1:6" x14ac:dyDescent="0.25">
      <c r="A9" s="137" t="str">
        <f>+'2025 General'!A13</f>
        <v xml:space="preserve">   Fee in Lieu of Tax</v>
      </c>
      <c r="C9" s="696">
        <f>+'2025 General'!D13</f>
        <v>3000</v>
      </c>
      <c r="D9" s="696"/>
      <c r="E9" s="696"/>
      <c r="F9" s="696"/>
    </row>
    <row r="10" spans="1:6" x14ac:dyDescent="0.25">
      <c r="A10" s="137" t="str">
        <f>+'2025 General'!A14</f>
        <v>Other Income (CC fees, etc.)</v>
      </c>
      <c r="C10" s="696">
        <f>+'2025 General'!D14</f>
        <v>0</v>
      </c>
      <c r="D10" s="696"/>
      <c r="E10" s="696"/>
      <c r="F10" s="696"/>
    </row>
    <row r="11" spans="1:6" ht="15.75" thickBot="1" x14ac:dyDescent="0.3">
      <c r="A11" s="137" t="str">
        <f>+'2025 General'!A15</f>
        <v>Interest Income (Operations-PTIF 248,4667,4668)</v>
      </c>
      <c r="C11" s="696">
        <f>+'2025 General'!D15</f>
        <v>110000</v>
      </c>
      <c r="D11" s="696"/>
      <c r="E11" s="696"/>
      <c r="F11" s="696"/>
    </row>
    <row r="12" spans="1:6" ht="16.5" thickBot="1" x14ac:dyDescent="0.3">
      <c r="A12" s="438" t="str">
        <f>+'2025 General'!A16</f>
        <v>Total Operating Income</v>
      </c>
      <c r="C12" s="697">
        <f>+'2025 General'!D16</f>
        <v>1245000</v>
      </c>
      <c r="D12" s="697"/>
      <c r="E12" s="697"/>
      <c r="F12" s="697"/>
    </row>
    <row r="13" spans="1:6" ht="15.75" thickBot="1" x14ac:dyDescent="0.3">
      <c r="A13" s="470"/>
      <c r="C13" s="698"/>
      <c r="D13" s="698"/>
      <c r="E13" s="698"/>
      <c r="F13" s="698"/>
    </row>
    <row r="14" spans="1:6" ht="16.5" thickBot="1" x14ac:dyDescent="0.3">
      <c r="A14" s="676" t="str">
        <f>+'2025 General'!A18</f>
        <v>EXPENSES</v>
      </c>
      <c r="C14" s="699"/>
      <c r="D14" s="699"/>
      <c r="E14" s="699"/>
      <c r="F14" s="699"/>
    </row>
    <row r="15" spans="1:6" x14ac:dyDescent="0.25">
      <c r="A15" s="663" t="str">
        <f>+'2025 General'!A19</f>
        <v xml:space="preserve">              ADMINISTRATION EXPENSES</v>
      </c>
      <c r="C15" s="700">
        <f>+'2025 General'!D19</f>
        <v>0</v>
      </c>
      <c r="D15" s="700"/>
      <c r="E15" s="700"/>
      <c r="F15" s="700"/>
    </row>
    <row r="16" spans="1:6" x14ac:dyDescent="0.25">
      <c r="A16" s="432" t="str">
        <f>+'2025 General'!A20</f>
        <v>Advertising/Website/News</v>
      </c>
      <c r="C16" s="701">
        <f>+'2025 General'!D20</f>
        <v>500</v>
      </c>
      <c r="D16" s="701"/>
      <c r="E16" s="701"/>
      <c r="F16" s="701"/>
    </row>
    <row r="17" spans="1:6" x14ac:dyDescent="0.25">
      <c r="A17" s="432" t="str">
        <f>+'2025 General'!A21</f>
        <v>Automobile Miles/Parking/Tolls for MGSID</v>
      </c>
      <c r="C17" s="701">
        <f>+'2025 General'!D21</f>
        <v>500</v>
      </c>
      <c r="D17" s="701"/>
      <c r="E17" s="701"/>
      <c r="F17" s="701"/>
    </row>
    <row r="18" spans="1:6" x14ac:dyDescent="0.25">
      <c r="A18" s="432" t="str">
        <f>+'2025 General'!A22</f>
        <v>Blue Stakes Utility Notification</v>
      </c>
      <c r="C18" s="701">
        <f>+'2025 General'!D22</f>
        <v>1000</v>
      </c>
      <c r="D18" s="701"/>
      <c r="E18" s="701"/>
      <c r="F18" s="701"/>
    </row>
    <row r="19" spans="1:6" x14ac:dyDescent="0.25">
      <c r="A19" s="432" t="str">
        <f>+'2025 General'!A23</f>
        <v>Board Meeting Compensation &amp; Expense</v>
      </c>
      <c r="C19" s="701">
        <f>+'2025 General'!D23</f>
        <v>22600</v>
      </c>
      <c r="D19" s="701"/>
      <c r="E19" s="701"/>
      <c r="F19" s="701"/>
    </row>
    <row r="20" spans="1:6" x14ac:dyDescent="0.25">
      <c r="A20" s="677" t="str">
        <f>+'2025 General'!A24</f>
        <v>Bond Interest Expense</v>
      </c>
      <c r="C20" s="702">
        <f>+'2025 General'!D24</f>
        <v>1057500</v>
      </c>
      <c r="D20" s="702"/>
      <c r="E20" s="702"/>
      <c r="F20" s="702"/>
    </row>
    <row r="21" spans="1:6" x14ac:dyDescent="0.25">
      <c r="A21" s="432" t="str">
        <f>+'2025 General'!A25</f>
        <v>General Insurance</v>
      </c>
      <c r="C21" s="701">
        <f>+'2025 General'!D25</f>
        <v>15000</v>
      </c>
      <c r="D21" s="701"/>
      <c r="E21" s="701"/>
      <c r="F21" s="701"/>
    </row>
    <row r="22" spans="1:6" x14ac:dyDescent="0.25">
      <c r="A22" s="432" t="str">
        <f>+'2025 General'!A26</f>
        <v>Licenses, Permits</v>
      </c>
      <c r="C22" s="701">
        <f>+'2025 General'!D26</f>
        <v>700</v>
      </c>
      <c r="D22" s="701"/>
      <c r="E22" s="701"/>
      <c r="F22" s="701"/>
    </row>
    <row r="23" spans="1:6" x14ac:dyDescent="0.25">
      <c r="A23" s="432" t="str">
        <f>+'2025 General'!A27</f>
        <v>Office Expenses</v>
      </c>
      <c r="C23" s="701">
        <f>+'2025 General'!D27</f>
        <v>17000</v>
      </c>
      <c r="D23" s="701"/>
      <c r="E23" s="701"/>
      <c r="F23" s="701"/>
    </row>
    <row r="24" spans="1:6" x14ac:dyDescent="0.25">
      <c r="A24" s="432" t="str">
        <f>+'2025 General'!A28</f>
        <v>Salary, Bonus, Insurance, Benefits &amp; Tax</v>
      </c>
      <c r="C24" s="701">
        <f>+'2025 General'!D28</f>
        <v>303000</v>
      </c>
      <c r="D24" s="701"/>
      <c r="E24" s="701"/>
      <c r="F24" s="701"/>
    </row>
    <row r="25" spans="1:6" x14ac:dyDescent="0.25">
      <c r="A25" s="432" t="str">
        <f>+'2025 General'!A29</f>
        <v>Professional Fees/Consulting</v>
      </c>
      <c r="C25" s="701">
        <f>+'2025 General'!D29</f>
        <v>120000</v>
      </c>
      <c r="D25" s="701"/>
      <c r="E25" s="701"/>
      <c r="F25" s="701"/>
    </row>
    <row r="26" spans="1:6" x14ac:dyDescent="0.25">
      <c r="A26" s="432" t="str">
        <f>+'2025 General'!A31</f>
        <v>Employee Training</v>
      </c>
      <c r="C26" s="701">
        <f>+'2025 General'!D31</f>
        <v>4000</v>
      </c>
      <c r="D26" s="701"/>
      <c r="E26" s="701"/>
      <c r="F26" s="701"/>
    </row>
    <row r="27" spans="1:6" x14ac:dyDescent="0.25">
      <c r="A27" s="432" t="str">
        <f>+'2025 General'!A32</f>
        <v>Travel, Entertainment &amp; Christmas Dinner</v>
      </c>
      <c r="C27" s="701">
        <f>+'2025 General'!D32</f>
        <v>3000</v>
      </c>
      <c r="D27" s="701"/>
      <c r="E27" s="701"/>
      <c r="F27" s="701"/>
    </row>
    <row r="28" spans="1:6" x14ac:dyDescent="0.25">
      <c r="A28" s="432" t="str">
        <f>+'2025 General'!A33</f>
        <v>Utilities: Main Office &amp; Garage</v>
      </c>
      <c r="C28" s="701">
        <f>+'2025 General'!D33</f>
        <v>10500</v>
      </c>
      <c r="D28" s="701"/>
      <c r="E28" s="701"/>
      <c r="F28" s="701"/>
    </row>
    <row r="29" spans="1:6" ht="16.5" thickBot="1" x14ac:dyDescent="0.3">
      <c r="A29" s="667" t="str">
        <f>+'2025 General'!A34</f>
        <v>Total Administration Expense</v>
      </c>
      <c r="C29" s="703">
        <f>+'2025 General'!D34</f>
        <v>1759300</v>
      </c>
      <c r="D29" s="703"/>
      <c r="E29" s="703"/>
      <c r="F29" s="703"/>
    </row>
    <row r="30" spans="1:6" ht="16.5" thickTop="1" thickBot="1" x14ac:dyDescent="0.3">
      <c r="A30" s="204"/>
      <c r="C30" s="704"/>
      <c r="D30" s="704"/>
      <c r="E30" s="704"/>
      <c r="F30" s="704"/>
    </row>
    <row r="31" spans="1:6" x14ac:dyDescent="0.25">
      <c r="A31" s="662" t="str">
        <f>+'2025 General'!A36</f>
        <v xml:space="preserve">               OPERATION EXPENSE</v>
      </c>
      <c r="C31" s="705">
        <f>+'2025 General'!D36</f>
        <v>0</v>
      </c>
      <c r="D31" s="705"/>
      <c r="E31" s="705"/>
      <c r="F31" s="705"/>
    </row>
    <row r="32" spans="1:6" x14ac:dyDescent="0.25">
      <c r="A32" s="436" t="str">
        <f>+'2025 General'!A37</f>
        <v>Main Garage/Office Building</v>
      </c>
      <c r="C32" s="706">
        <f>+'2025 General'!D37</f>
        <v>0</v>
      </c>
      <c r="D32" s="706"/>
      <c r="E32" s="706"/>
      <c r="F32" s="706"/>
    </row>
    <row r="33" spans="1:6" x14ac:dyDescent="0.25">
      <c r="A33" s="432" t="str">
        <f>+'2025 General'!A38</f>
        <v>Vehicles, Fuel, Service, Repair</v>
      </c>
      <c r="C33" s="701">
        <f>+'2025 General'!D38</f>
        <v>2500</v>
      </c>
      <c r="D33" s="701"/>
      <c r="E33" s="701"/>
      <c r="F33" s="701"/>
    </row>
    <row r="34" spans="1:6" x14ac:dyDescent="0.25">
      <c r="A34" s="432" t="str">
        <f>+'2025 General'!A39</f>
        <v>Building Maintenance</v>
      </c>
      <c r="C34" s="701">
        <f>+'2025 General'!D39</f>
        <v>0</v>
      </c>
      <c r="D34" s="701"/>
      <c r="E34" s="701"/>
      <c r="F34" s="701"/>
    </row>
    <row r="35" spans="1:6" x14ac:dyDescent="0.25">
      <c r="A35" s="432" t="str">
        <f>+'2025 General'!A40</f>
        <v>Equipment &amp; Instrumentation</v>
      </c>
      <c r="C35" s="701">
        <f>+'2025 General'!D40</f>
        <v>15000</v>
      </c>
      <c r="D35" s="701"/>
      <c r="E35" s="701"/>
      <c r="F35" s="701"/>
    </row>
    <row r="36" spans="1:6" x14ac:dyDescent="0.25">
      <c r="A36" s="432" t="str">
        <f>+'2025 General'!A41</f>
        <v>Supplies, Repairs &amp; Spares, other O&amp;M</v>
      </c>
      <c r="C36" s="701">
        <f>+'2025 General'!D41</f>
        <v>1500</v>
      </c>
      <c r="D36" s="701"/>
      <c r="E36" s="701"/>
      <c r="F36" s="701"/>
    </row>
    <row r="37" spans="1:6" x14ac:dyDescent="0.25">
      <c r="A37" s="432">
        <f>+'2025 General'!A42</f>
        <v>0</v>
      </c>
      <c r="C37" s="701">
        <f>+'2025 General'!D42</f>
        <v>0</v>
      </c>
      <c r="D37" s="701"/>
      <c r="E37" s="701"/>
      <c r="F37" s="701"/>
    </row>
    <row r="38" spans="1:6" x14ac:dyDescent="0.25">
      <c r="A38" s="436" t="str">
        <f>+'2025 General'!A43</f>
        <v>Lagoons &amp; Control Building</v>
      </c>
      <c r="C38" s="706">
        <f>+'2025 General'!D43</f>
        <v>0</v>
      </c>
      <c r="D38" s="706"/>
      <c r="E38" s="706"/>
      <c r="F38" s="706"/>
    </row>
    <row r="39" spans="1:6" x14ac:dyDescent="0.25">
      <c r="A39" s="432" t="str">
        <f>+'2025 General'!A44</f>
        <v>Lagoons, Air &amp; Chlorine Systems</v>
      </c>
      <c r="C39" s="701">
        <f>+'2025 General'!D44</f>
        <v>18750</v>
      </c>
      <c r="D39" s="701"/>
      <c r="E39" s="701"/>
      <c r="F39" s="701"/>
    </row>
    <row r="40" spans="1:6" x14ac:dyDescent="0.25">
      <c r="A40" s="432" t="str">
        <f>+'2025 General'!A45</f>
        <v>Control / Instrumentation / Computers</v>
      </c>
      <c r="C40" s="701">
        <f>+'2025 General'!D45</f>
        <v>10000</v>
      </c>
      <c r="D40" s="701"/>
      <c r="E40" s="701"/>
      <c r="F40" s="701"/>
    </row>
    <row r="41" spans="1:6" x14ac:dyDescent="0.25">
      <c r="A41" s="432" t="str">
        <f>+'2025 General'!A46</f>
        <v>Generator Maintenance &amp; Fuel</v>
      </c>
      <c r="C41" s="701">
        <f>+'2025 General'!D46</f>
        <v>5000</v>
      </c>
      <c r="D41" s="701"/>
      <c r="E41" s="701"/>
      <c r="F41" s="701"/>
    </row>
    <row r="42" spans="1:6" x14ac:dyDescent="0.25">
      <c r="A42" s="432" t="str">
        <f>+'2025 General'!A47</f>
        <v>Lab Tests</v>
      </c>
      <c r="C42" s="701">
        <f>+'2025 General'!D47</f>
        <v>10000</v>
      </c>
      <c r="D42" s="701"/>
      <c r="E42" s="701"/>
      <c r="F42" s="701"/>
    </row>
    <row r="43" spans="1:6" x14ac:dyDescent="0.25">
      <c r="A43" s="432" t="str">
        <f>+'2025 General'!A48</f>
        <v>Supplies, Repairs &amp; Spares, other O&amp;M</v>
      </c>
      <c r="C43" s="701">
        <f>+'2025 General'!D48</f>
        <v>10000</v>
      </c>
      <c r="D43" s="701"/>
      <c r="E43" s="701"/>
      <c r="F43" s="701"/>
    </row>
    <row r="44" spans="1:6" x14ac:dyDescent="0.25">
      <c r="A44" s="432" t="str">
        <f>+'2025 General'!A49</f>
        <v>Utilities (Power)</v>
      </c>
      <c r="C44" s="701">
        <f>+'2025 General'!D49</f>
        <v>30000</v>
      </c>
      <c r="D44" s="701"/>
      <c r="E44" s="701"/>
      <c r="F44" s="701"/>
    </row>
    <row r="45" spans="1:6" x14ac:dyDescent="0.25">
      <c r="A45" s="436" t="str">
        <f>+'2025 General'!A50</f>
        <v>Collection Lines &amp; Manholes</v>
      </c>
      <c r="C45" s="706">
        <f>+'2025 General'!D50</f>
        <v>0</v>
      </c>
      <c r="D45" s="706"/>
      <c r="E45" s="706"/>
      <c r="F45" s="706"/>
    </row>
    <row r="46" spans="1:6" x14ac:dyDescent="0.25">
      <c r="A46" s="432" t="str">
        <f>+'2025 General'!A51</f>
        <v>Manhole&amp; Line Repair/Maint</v>
      </c>
      <c r="C46" s="701">
        <f>+'2025 General'!D51</f>
        <v>125000</v>
      </c>
      <c r="D46" s="701"/>
      <c r="E46" s="701"/>
      <c r="F46" s="701"/>
    </row>
    <row r="47" spans="1:6" x14ac:dyDescent="0.25">
      <c r="A47" s="432" t="str">
        <f>+'2025 General'!A52</f>
        <v>Clean &amp; Video</v>
      </c>
      <c r="C47" s="701">
        <f>+'2025 General'!D52</f>
        <v>150000</v>
      </c>
      <c r="D47" s="701"/>
      <c r="E47" s="701"/>
      <c r="F47" s="701"/>
    </row>
    <row r="48" spans="1:6" x14ac:dyDescent="0.25">
      <c r="A48" s="432" t="str">
        <f>+'2025 General'!A53</f>
        <v>Monte Verde Lift Station / Canyon View Lift Station</v>
      </c>
      <c r="C48" s="701">
        <f>+'2025 General'!D53</f>
        <v>0</v>
      </c>
      <c r="D48" s="701"/>
      <c r="E48" s="701"/>
      <c r="F48" s="701"/>
    </row>
    <row r="49" spans="1:6" x14ac:dyDescent="0.25">
      <c r="A49" s="432" t="str">
        <f>+'2025 General'!A54</f>
        <v>Equipment / Controls / Instrumentation</v>
      </c>
      <c r="C49" s="701">
        <f>+'2025 General'!D54</f>
        <v>10000</v>
      </c>
      <c r="D49" s="701"/>
      <c r="E49" s="701"/>
      <c r="F49" s="701"/>
    </row>
    <row r="50" spans="1:6" x14ac:dyDescent="0.25">
      <c r="A50" s="432" t="str">
        <f>+'2025 General'!A55</f>
        <v>Supplies, Repairs &amp; Spares, other O&amp;M</v>
      </c>
      <c r="C50" s="701">
        <f>+'2025 General'!D55</f>
        <v>1000</v>
      </c>
      <c r="D50" s="701"/>
      <c r="E50" s="701"/>
      <c r="F50" s="701"/>
    </row>
    <row r="51" spans="1:6" x14ac:dyDescent="0.25">
      <c r="A51" s="432" t="str">
        <f>+'2025 General'!A56</f>
        <v>Grounds Maintenance/Landscaping</v>
      </c>
      <c r="C51" s="701">
        <f>+'2025 General'!D56</f>
        <v>1000</v>
      </c>
      <c r="D51" s="701"/>
      <c r="E51" s="701"/>
      <c r="F51" s="701"/>
    </row>
    <row r="52" spans="1:6" x14ac:dyDescent="0.25">
      <c r="A52" s="436"/>
      <c r="C52" s="706">
        <f>+'2025 General'!D57</f>
        <v>0</v>
      </c>
      <c r="D52" s="706"/>
      <c r="E52" s="706"/>
      <c r="F52" s="706"/>
    </row>
    <row r="53" spans="1:6" ht="15.75" thickBot="1" x14ac:dyDescent="0.3">
      <c r="A53" s="677"/>
      <c r="C53" s="702">
        <f>+'2025 General'!D58</f>
        <v>0</v>
      </c>
      <c r="D53" s="702"/>
      <c r="E53" s="702"/>
      <c r="F53" s="702"/>
    </row>
    <row r="54" spans="1:6" ht="16.5" thickBot="1" x14ac:dyDescent="0.3">
      <c r="A54" s="438" t="str">
        <f>+'2025 General'!A59</f>
        <v>Total Operations Expense</v>
      </c>
      <c r="C54" s="697">
        <f>+'2025 General'!D59</f>
        <v>389750</v>
      </c>
      <c r="D54" s="697"/>
      <c r="E54" s="697"/>
      <c r="F54" s="697"/>
    </row>
    <row r="55" spans="1:6" ht="16.5" thickBot="1" x14ac:dyDescent="0.3">
      <c r="A55" s="324"/>
      <c r="C55" s="707"/>
      <c r="D55" s="707"/>
      <c r="E55" s="707"/>
      <c r="F55" s="707"/>
    </row>
    <row r="56" spans="1:6" ht="16.5" thickBot="1" x14ac:dyDescent="0.3">
      <c r="A56" s="441" t="str">
        <f>+'2025 General'!A61</f>
        <v>Depreciation Expense (TRANSFER TO 4668)</v>
      </c>
      <c r="C56" s="708">
        <f>+'2025 General'!D61</f>
        <v>1167000</v>
      </c>
      <c r="D56" s="708"/>
      <c r="E56" s="708"/>
      <c r="F56" s="708"/>
    </row>
    <row r="57" spans="1:6" ht="16.5" thickBot="1" x14ac:dyDescent="0.3">
      <c r="A57" s="583"/>
      <c r="C57" s="709"/>
      <c r="D57" s="709"/>
      <c r="E57" s="709"/>
      <c r="F57" s="709"/>
    </row>
    <row r="58" spans="1:6" ht="16.5" thickBot="1" x14ac:dyDescent="0.3">
      <c r="A58" s="584" t="str">
        <f>+'2025 General'!A63</f>
        <v>TOTAL OPERATING INCOME</v>
      </c>
      <c r="C58" s="710">
        <f>+'2025 General'!D63</f>
        <v>1245000</v>
      </c>
      <c r="D58" s="710"/>
      <c r="E58" s="710"/>
      <c r="F58" s="710"/>
    </row>
    <row r="59" spans="1:6" ht="16.5" thickBot="1" x14ac:dyDescent="0.3">
      <c r="A59" s="566" t="str">
        <f>+'2025 General'!A64</f>
        <v>TOTAL EXPENSES</v>
      </c>
      <c r="C59" s="711">
        <f>+'2025 General'!D64</f>
        <v>3316050</v>
      </c>
      <c r="D59" s="711"/>
      <c r="E59" s="711"/>
      <c r="F59" s="711"/>
    </row>
    <row r="60" spans="1:6" ht="16.5" thickBot="1" x14ac:dyDescent="0.3">
      <c r="A60" s="331"/>
      <c r="C60" s="712"/>
      <c r="D60" s="712"/>
      <c r="E60" s="712"/>
      <c r="F60" s="712"/>
    </row>
    <row r="61" spans="1:6" ht="15.75" thickBot="1" x14ac:dyDescent="0.3">
      <c r="A61" s="515" t="str">
        <f>+'2025 General'!A66</f>
        <v>Transfer to (From) Bond Account (6148)</v>
      </c>
      <c r="C61" s="713">
        <f>+'2025 General'!D66</f>
        <v>-2071050</v>
      </c>
      <c r="D61" s="713"/>
      <c r="E61" s="713"/>
      <c r="F61" s="713"/>
    </row>
    <row r="62" spans="1:6" ht="15.75" thickBot="1" x14ac:dyDescent="0.3">
      <c r="A62" s="515" t="str">
        <f>+'2025 General'!A67</f>
        <v>Transfer to Existing Res Facility Exp Account (0248)</v>
      </c>
      <c r="C62" s="713">
        <f>+'2025 General'!D67</f>
        <v>0</v>
      </c>
      <c r="D62" s="713"/>
      <c r="E62" s="713"/>
      <c r="F62" s="713"/>
    </row>
    <row r="63" spans="1:6" ht="16.5" thickBot="1" x14ac:dyDescent="0.3">
      <c r="A63" s="334" t="str">
        <f>+'2025 General'!A68</f>
        <v>NET INCOME</v>
      </c>
      <c r="C63" s="714">
        <f>+'2025 General'!D68</f>
        <v>0</v>
      </c>
      <c r="D63" s="714"/>
      <c r="E63" s="714"/>
      <c r="F63" s="714"/>
    </row>
    <row r="64" spans="1:6" x14ac:dyDescent="0.25">
      <c r="A64" s="263"/>
    </row>
  </sheetData>
  <pageMargins left="0.7" right="0.7" top="0.75" bottom="0.75" header="0.1" footer="0.3"/>
  <pageSetup orientation="portrait" r:id="rId1"/>
  <headerFooter>
    <oddHeader>&amp;L&amp;"Arial,Bold"&amp;8 12:03 PM
&amp;"Arial,Bold"&amp;8 10/12/23
&amp;"Arial,Bold"&amp;8 Cash Basis&amp;C&amp;"Arial,Bold"&amp;12 Mountain Green Sewer Improvement District
&amp;"Arial,Bold"&amp;14 Profit &amp;&amp; Loss Prev Year Comparison
&amp;"Arial,Bold"&amp;10 January through December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200025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19050</xdr:rowOff>
              </to>
            </anchor>
          </controlPr>
        </control>
      </mc:Choice>
      <mc:Fallback>
        <control shapeId="12000258" r:id="rId4" name="HEADER"/>
      </mc:Fallback>
    </mc:AlternateContent>
    <mc:AlternateContent xmlns:mc="http://schemas.openxmlformats.org/markup-compatibility/2006">
      <mc:Choice Requires="x14">
        <control shapeId="1200025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19050</xdr:rowOff>
              </to>
            </anchor>
          </controlPr>
        </control>
      </mc:Choice>
      <mc:Fallback>
        <control shapeId="12000257" r:id="rId6" name="FILTER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146"/>
  <sheetViews>
    <sheetView showGridLines="0" zoomScaleNormal="100" workbookViewId="0">
      <pane ySplit="7" topLeftCell="A8" activePane="bottomLeft" state="frozenSplit"/>
      <selection activeCell="F29" sqref="F29"/>
      <selection pane="bottomLeft" activeCell="F29" sqref="F29"/>
    </sheetView>
  </sheetViews>
  <sheetFormatPr defaultRowHeight="12.75" x14ac:dyDescent="0.2"/>
  <cols>
    <col min="1" max="1" width="55" customWidth="1"/>
    <col min="2" max="3" width="15.28515625" customWidth="1"/>
    <col min="4" max="4" width="18" customWidth="1"/>
    <col min="5" max="5" width="16.140625" customWidth="1"/>
    <col min="6" max="6" width="16.85546875" customWidth="1"/>
    <col min="7" max="7" width="16.28515625" customWidth="1"/>
    <col min="8" max="8" width="14" customWidth="1"/>
    <col min="9" max="9" width="27.140625" style="287" customWidth="1"/>
    <col min="10" max="10" width="4.7109375" customWidth="1"/>
    <col min="12" max="22" width="0" hidden="1" customWidth="1"/>
    <col min="24" max="24" width="13.85546875" customWidth="1"/>
    <col min="26" max="28" width="28.28515625" customWidth="1"/>
  </cols>
  <sheetData>
    <row r="1" spans="1:22" ht="18" x14ac:dyDescent="0.25">
      <c r="A1" s="715" t="s">
        <v>32</v>
      </c>
      <c r="B1" s="716"/>
      <c r="C1" s="716"/>
      <c r="D1" s="716"/>
      <c r="E1" s="716"/>
      <c r="F1" s="716"/>
      <c r="G1" s="716"/>
      <c r="H1" s="716"/>
      <c r="I1" s="717"/>
    </row>
    <row r="2" spans="1:22" ht="24" thickBot="1" x14ac:dyDescent="0.4">
      <c r="A2" s="718" t="s">
        <v>92</v>
      </c>
      <c r="B2" s="719"/>
      <c r="C2" s="719"/>
      <c r="D2" s="719"/>
      <c r="E2" s="719"/>
      <c r="F2" s="719"/>
      <c r="G2" s="719"/>
      <c r="H2" s="719"/>
      <c r="I2" s="720"/>
    </row>
    <row r="3" spans="1:22" ht="21.75" thickTop="1" thickBot="1" x14ac:dyDescent="0.35">
      <c r="A3" s="721" t="s">
        <v>327</v>
      </c>
      <c r="B3" s="722"/>
      <c r="C3" s="722"/>
      <c r="D3" s="722"/>
      <c r="E3" s="722"/>
      <c r="F3" s="723"/>
      <c r="G3" s="723"/>
      <c r="H3" s="723"/>
      <c r="I3" s="724"/>
      <c r="L3" s="261"/>
      <c r="M3" s="261"/>
      <c r="N3" s="261"/>
      <c r="O3" s="261"/>
      <c r="P3" s="261"/>
      <c r="Q3" s="261"/>
      <c r="R3" s="261"/>
      <c r="S3" s="262" t="s">
        <v>248</v>
      </c>
      <c r="T3" s="262" t="s">
        <v>12</v>
      </c>
      <c r="U3" s="262" t="s">
        <v>95</v>
      </c>
      <c r="V3" s="262" t="s">
        <v>69</v>
      </c>
    </row>
    <row r="4" spans="1:22" ht="15.75" thickTop="1" x14ac:dyDescent="0.25">
      <c r="A4" s="725" t="s">
        <v>415</v>
      </c>
      <c r="B4" s="726"/>
      <c r="C4" s="726"/>
      <c r="D4" s="726"/>
      <c r="E4" s="726"/>
      <c r="F4" s="727"/>
      <c r="G4" s="727"/>
      <c r="H4" s="727"/>
      <c r="I4" s="728"/>
      <c r="L4" s="250" t="s">
        <v>96</v>
      </c>
      <c r="M4" s="250"/>
      <c r="N4" s="250"/>
      <c r="O4" s="250"/>
      <c r="P4" s="250"/>
      <c r="Q4" s="250"/>
      <c r="R4" s="250"/>
      <c r="S4" s="251"/>
      <c r="T4" s="251"/>
      <c r="U4" s="251"/>
      <c r="V4" s="252"/>
    </row>
    <row r="5" spans="1:22" ht="15.75" x14ac:dyDescent="0.25">
      <c r="A5" s="263" t="s">
        <v>330</v>
      </c>
      <c r="B5" s="264" t="s">
        <v>324</v>
      </c>
      <c r="C5" s="265">
        <f>1.25</f>
        <v>1.25</v>
      </c>
      <c r="E5" s="248"/>
      <c r="F5" s="248"/>
      <c r="G5" s="23"/>
      <c r="H5" s="8"/>
      <c r="I5" s="282"/>
      <c r="L5" s="250"/>
      <c r="M5" s="250"/>
      <c r="N5" s="250" t="s">
        <v>74</v>
      </c>
      <c r="O5" s="250"/>
      <c r="P5" s="250"/>
      <c r="Q5" s="250"/>
      <c r="R5" s="250"/>
      <c r="S5" s="251"/>
      <c r="T5" s="251"/>
      <c r="U5" s="251"/>
      <c r="V5" s="252"/>
    </row>
    <row r="6" spans="1:22" ht="22.5" customHeight="1" x14ac:dyDescent="0.2">
      <c r="A6" s="219"/>
      <c r="B6" s="110" t="s">
        <v>323</v>
      </c>
      <c r="C6" s="220" t="s">
        <v>325</v>
      </c>
      <c r="D6" s="212" t="s">
        <v>77</v>
      </c>
      <c r="E6" s="108" t="s">
        <v>12</v>
      </c>
      <c r="F6" s="108" t="s">
        <v>12</v>
      </c>
      <c r="G6" s="9" t="s">
        <v>0</v>
      </c>
      <c r="H6" s="7" t="s">
        <v>9</v>
      </c>
      <c r="I6" s="283"/>
      <c r="L6" s="250"/>
      <c r="M6" s="250"/>
      <c r="N6" s="250"/>
      <c r="O6" s="250" t="s">
        <v>249</v>
      </c>
      <c r="P6" s="250"/>
      <c r="Q6" s="250"/>
      <c r="R6" s="250"/>
      <c r="S6" s="251">
        <v>529980</v>
      </c>
      <c r="T6" s="251">
        <v>734928</v>
      </c>
      <c r="U6" s="251">
        <v>-204948</v>
      </c>
      <c r="V6" s="252">
        <v>0.72113000000000005</v>
      </c>
    </row>
    <row r="7" spans="1:22" ht="15.75" x14ac:dyDescent="0.25">
      <c r="A7" s="222" t="s">
        <v>26</v>
      </c>
      <c r="B7" s="201"/>
      <c r="C7" s="201"/>
      <c r="D7" s="202" t="s">
        <v>93</v>
      </c>
      <c r="E7" s="202" t="s">
        <v>93</v>
      </c>
      <c r="F7" s="203" t="s">
        <v>244</v>
      </c>
      <c r="G7" s="278"/>
      <c r="H7" s="279"/>
      <c r="I7" s="284" t="s">
        <v>329</v>
      </c>
      <c r="L7" s="250"/>
      <c r="M7" s="250"/>
      <c r="N7" s="250"/>
      <c r="O7" s="250" t="s">
        <v>250</v>
      </c>
      <c r="P7" s="250"/>
      <c r="Q7" s="250"/>
      <c r="R7" s="250"/>
      <c r="S7" s="251">
        <v>678</v>
      </c>
      <c r="T7" s="251">
        <v>3500</v>
      </c>
      <c r="U7" s="251">
        <v>-2822</v>
      </c>
      <c r="V7" s="252">
        <v>0.19370999999999999</v>
      </c>
    </row>
    <row r="8" spans="1:22" s="2" customFormat="1" x14ac:dyDescent="0.2">
      <c r="A8" s="109" t="s">
        <v>17</v>
      </c>
      <c r="B8" s="312">
        <v>529980</v>
      </c>
      <c r="C8" s="313">
        <v>0.72</v>
      </c>
      <c r="D8" s="125">
        <f>B8*1.33</f>
        <v>704873.4</v>
      </c>
      <c r="E8" s="125">
        <v>734928</v>
      </c>
      <c r="F8" s="133">
        <f>1230*50*12 + 50/2*50*12</f>
        <v>753000</v>
      </c>
      <c r="G8" s="314">
        <f t="shared" ref="G8:G15" si="0">F8-E8</f>
        <v>18072</v>
      </c>
      <c r="H8" s="315">
        <f t="shared" ref="H8:H16" si="1">G8/E8</f>
        <v>2.4590163934426229E-2</v>
      </c>
      <c r="I8" s="285" t="s">
        <v>393</v>
      </c>
      <c r="L8" s="316"/>
      <c r="M8" s="316"/>
      <c r="N8" s="316"/>
      <c r="O8" s="316" t="s">
        <v>251</v>
      </c>
      <c r="P8" s="316"/>
      <c r="Q8" s="316"/>
      <c r="R8" s="316"/>
      <c r="S8" s="317"/>
      <c r="T8" s="317"/>
      <c r="U8" s="317"/>
      <c r="V8" s="318"/>
    </row>
    <row r="9" spans="1:22" s="2" customFormat="1" x14ac:dyDescent="0.2">
      <c r="A9" s="109" t="s">
        <v>16</v>
      </c>
      <c r="B9" s="314">
        <v>678</v>
      </c>
      <c r="C9" s="313">
        <v>0.19</v>
      </c>
      <c r="D9" s="125">
        <v>3000</v>
      </c>
      <c r="E9" s="125">
        <v>3500</v>
      </c>
      <c r="F9" s="133">
        <v>3500</v>
      </c>
      <c r="G9" s="314">
        <f t="shared" si="0"/>
        <v>0</v>
      </c>
      <c r="H9" s="315">
        <f t="shared" si="1"/>
        <v>0</v>
      </c>
      <c r="I9" s="285"/>
      <c r="L9" s="316"/>
      <c r="M9" s="316"/>
      <c r="N9" s="316"/>
      <c r="O9" s="316"/>
      <c r="P9" s="316" t="s">
        <v>252</v>
      </c>
      <c r="Q9" s="316"/>
      <c r="R9" s="316"/>
      <c r="S9" s="317">
        <v>32350</v>
      </c>
      <c r="T9" s="317">
        <v>0</v>
      </c>
      <c r="U9" s="317">
        <v>32350</v>
      </c>
      <c r="V9" s="318">
        <v>1</v>
      </c>
    </row>
    <row r="10" spans="1:22" s="2" customFormat="1" x14ac:dyDescent="0.2">
      <c r="A10" s="109" t="s">
        <v>94</v>
      </c>
      <c r="B10" s="319">
        <v>78516</v>
      </c>
      <c r="C10" s="313">
        <v>3.14</v>
      </c>
      <c r="D10" s="125">
        <f>B10*1.1</f>
        <v>86367.6</v>
      </c>
      <c r="E10" s="125">
        <v>25000</v>
      </c>
      <c r="F10" s="133">
        <v>75000</v>
      </c>
      <c r="G10" s="314">
        <f t="shared" si="0"/>
        <v>50000</v>
      </c>
      <c r="H10" s="315">
        <f t="shared" si="1"/>
        <v>2</v>
      </c>
      <c r="I10" s="285"/>
      <c r="L10" s="316"/>
      <c r="M10" s="316"/>
      <c r="N10" s="316"/>
      <c r="O10" s="316"/>
      <c r="P10" s="316" t="s">
        <v>253</v>
      </c>
      <c r="Q10" s="316"/>
      <c r="R10" s="316"/>
      <c r="S10" s="317">
        <v>20666</v>
      </c>
      <c r="T10" s="317">
        <v>0</v>
      </c>
      <c r="U10" s="317">
        <v>20666</v>
      </c>
      <c r="V10" s="318">
        <v>1</v>
      </c>
    </row>
    <row r="11" spans="1:22" s="2" customFormat="1" x14ac:dyDescent="0.2">
      <c r="A11" s="109" t="s">
        <v>15</v>
      </c>
      <c r="B11" s="314">
        <v>4747</v>
      </c>
      <c r="C11" s="313">
        <v>0.09</v>
      </c>
      <c r="D11" s="125">
        <f>E11</f>
        <v>55141.200000000004</v>
      </c>
      <c r="E11" s="125">
        <v>55141.200000000004</v>
      </c>
      <c r="F11" s="133">
        <f>E11*1.02</f>
        <v>56244.024000000005</v>
      </c>
      <c r="G11" s="314">
        <f t="shared" si="0"/>
        <v>1102.8240000000005</v>
      </c>
      <c r="H11" s="315">
        <f t="shared" si="1"/>
        <v>2.0000000000000007E-2</v>
      </c>
      <c r="I11" s="285"/>
      <c r="L11" s="316"/>
      <c r="M11" s="316"/>
      <c r="N11" s="316"/>
      <c r="O11" s="316"/>
      <c r="P11" s="316" t="s">
        <v>254</v>
      </c>
      <c r="Q11" s="316"/>
      <c r="R11" s="316"/>
      <c r="S11" s="317">
        <v>25400</v>
      </c>
      <c r="T11" s="317">
        <v>0</v>
      </c>
      <c r="U11" s="317">
        <v>25400</v>
      </c>
      <c r="V11" s="318">
        <v>1</v>
      </c>
    </row>
    <row r="12" spans="1:22" s="2" customFormat="1" ht="13.5" thickBot="1" x14ac:dyDescent="0.25">
      <c r="A12" s="109" t="s">
        <v>19</v>
      </c>
      <c r="B12" s="314">
        <v>1560</v>
      </c>
      <c r="C12" s="313">
        <v>0.47</v>
      </c>
      <c r="D12" s="125">
        <v>3300</v>
      </c>
      <c r="E12" s="125">
        <v>3300</v>
      </c>
      <c r="F12" s="133">
        <f>E12*1.02</f>
        <v>3366</v>
      </c>
      <c r="G12" s="314">
        <f t="shared" si="0"/>
        <v>66</v>
      </c>
      <c r="H12" s="315">
        <f t="shared" si="1"/>
        <v>0.02</v>
      </c>
      <c r="I12" s="285"/>
      <c r="L12" s="316"/>
      <c r="M12" s="316"/>
      <c r="N12" s="316"/>
      <c r="O12" s="316"/>
      <c r="P12" s="316" t="s">
        <v>255</v>
      </c>
      <c r="Q12" s="316"/>
      <c r="R12" s="316"/>
      <c r="S12" s="320">
        <v>100</v>
      </c>
      <c r="T12" s="320">
        <v>25000</v>
      </c>
      <c r="U12" s="320">
        <v>-24900</v>
      </c>
      <c r="V12" s="321">
        <v>4.0000000000000001E-3</v>
      </c>
    </row>
    <row r="13" spans="1:22" s="2" customFormat="1" x14ac:dyDescent="0.2">
      <c r="A13" s="109" t="s">
        <v>21</v>
      </c>
      <c r="B13" s="314">
        <v>3398</v>
      </c>
      <c r="C13" s="313">
        <v>0.56000000000000005</v>
      </c>
      <c r="D13" s="125">
        <v>6000</v>
      </c>
      <c r="E13" s="125">
        <v>6018</v>
      </c>
      <c r="F13" s="133">
        <f>E13*1.02</f>
        <v>6138.36</v>
      </c>
      <c r="G13" s="314">
        <f t="shared" si="0"/>
        <v>120.35999999999967</v>
      </c>
      <c r="H13" s="315">
        <f t="shared" si="1"/>
        <v>1.9999999999999945E-2</v>
      </c>
      <c r="I13" s="285"/>
      <c r="L13" s="316"/>
      <c r="M13" s="316"/>
      <c r="N13" s="316"/>
      <c r="O13" s="316" t="s">
        <v>256</v>
      </c>
      <c r="P13" s="316"/>
      <c r="Q13" s="316"/>
      <c r="R13" s="316"/>
      <c r="S13" s="317">
        <v>78516</v>
      </c>
      <c r="T13" s="317">
        <v>25000</v>
      </c>
      <c r="U13" s="317">
        <v>53516</v>
      </c>
      <c r="V13" s="318">
        <v>3.1406399999999999</v>
      </c>
    </row>
    <row r="14" spans="1:22" s="2" customFormat="1" x14ac:dyDescent="0.2">
      <c r="A14" s="109" t="s">
        <v>72</v>
      </c>
      <c r="B14" s="314">
        <v>2366</v>
      </c>
      <c r="C14" s="313">
        <v>0.11</v>
      </c>
      <c r="D14" s="125">
        <v>225000</v>
      </c>
      <c r="E14" s="125">
        <v>21000</v>
      </c>
      <c r="F14" s="133">
        <v>60000</v>
      </c>
      <c r="G14" s="314">
        <f t="shared" si="0"/>
        <v>39000</v>
      </c>
      <c r="H14" s="315">
        <f t="shared" si="1"/>
        <v>1.8571428571428572</v>
      </c>
      <c r="I14" s="285" t="s">
        <v>387</v>
      </c>
      <c r="L14" s="316"/>
      <c r="M14" s="316"/>
      <c r="N14" s="316"/>
      <c r="O14" s="316" t="s">
        <v>257</v>
      </c>
      <c r="P14" s="316"/>
      <c r="Q14" s="316"/>
      <c r="R14" s="316"/>
      <c r="S14" s="317"/>
      <c r="T14" s="317"/>
      <c r="U14" s="317"/>
      <c r="V14" s="318"/>
    </row>
    <row r="15" spans="1:22" s="2" customFormat="1" x14ac:dyDescent="0.2">
      <c r="A15" s="109" t="s">
        <v>83</v>
      </c>
      <c r="B15" s="312">
        <v>7160</v>
      </c>
      <c r="C15" s="313">
        <v>0.2</v>
      </c>
      <c r="D15" s="125">
        <f>B15*1.25</f>
        <v>8950</v>
      </c>
      <c r="E15" s="125">
        <v>35000</v>
      </c>
      <c r="F15" s="133">
        <v>7000</v>
      </c>
      <c r="G15" s="314">
        <f t="shared" si="0"/>
        <v>-28000</v>
      </c>
      <c r="H15" s="315">
        <f t="shared" si="1"/>
        <v>-0.8</v>
      </c>
      <c r="I15" s="285"/>
      <c r="L15" s="316"/>
      <c r="M15" s="316"/>
      <c r="N15" s="316"/>
      <c r="O15" s="316"/>
      <c r="P15" s="316" t="s">
        <v>258</v>
      </c>
      <c r="Q15" s="316"/>
      <c r="R15" s="316"/>
      <c r="S15" s="317">
        <v>4747</v>
      </c>
      <c r="T15" s="317">
        <v>55141</v>
      </c>
      <c r="U15" s="317">
        <v>-50394</v>
      </c>
      <c r="V15" s="318">
        <v>8.609E-2</v>
      </c>
    </row>
    <row r="16" spans="1:22" ht="15.75" x14ac:dyDescent="0.25">
      <c r="A16" s="225" t="s">
        <v>30</v>
      </c>
      <c r="B16" s="196">
        <v>628405</v>
      </c>
      <c r="C16" s="271">
        <v>0.71</v>
      </c>
      <c r="D16" s="197">
        <f>SUM(D8:D15)</f>
        <v>1092632.2</v>
      </c>
      <c r="E16" s="197">
        <v>883887.2</v>
      </c>
      <c r="F16" s="198">
        <f>SUM(F8:F15)</f>
        <v>964248.38399999996</v>
      </c>
      <c r="G16" s="199">
        <f>SUM(G8:G15)</f>
        <v>80361.183999999994</v>
      </c>
      <c r="H16" s="200">
        <f t="shared" si="1"/>
        <v>9.0917918032979772E-2</v>
      </c>
      <c r="I16" s="286"/>
      <c r="J16" s="2"/>
      <c r="L16" s="250"/>
      <c r="M16" s="250"/>
      <c r="N16" s="250"/>
      <c r="O16" s="250"/>
      <c r="P16" s="250" t="s">
        <v>259</v>
      </c>
      <c r="Q16" s="250"/>
      <c r="R16" s="250"/>
      <c r="S16" s="251">
        <v>1560</v>
      </c>
      <c r="T16" s="251">
        <v>3300</v>
      </c>
      <c r="U16" s="251">
        <v>-1740</v>
      </c>
      <c r="V16" s="252">
        <v>0.47272999999999998</v>
      </c>
    </row>
    <row r="17" spans="1:22" ht="13.5" thickBot="1" x14ac:dyDescent="0.25">
      <c r="A17" s="194"/>
      <c r="B17" s="115"/>
      <c r="C17" s="271"/>
      <c r="D17" s="195"/>
      <c r="E17" s="195"/>
      <c r="F17" s="195"/>
      <c r="G17" s="139"/>
      <c r="H17" s="12"/>
      <c r="I17" s="286"/>
      <c r="J17" s="2"/>
      <c r="L17" s="250"/>
      <c r="M17" s="250"/>
      <c r="N17" s="250"/>
      <c r="O17" s="250"/>
      <c r="P17" s="250" t="s">
        <v>260</v>
      </c>
      <c r="Q17" s="250"/>
      <c r="R17" s="250"/>
      <c r="S17" s="253">
        <v>3398</v>
      </c>
      <c r="T17" s="253">
        <v>6018</v>
      </c>
      <c r="U17" s="253">
        <v>-2620</v>
      </c>
      <c r="V17" s="254">
        <v>0.56464000000000003</v>
      </c>
    </row>
    <row r="18" spans="1:22" ht="16.5" thickBot="1" x14ac:dyDescent="0.3">
      <c r="A18" s="45" t="s">
        <v>55</v>
      </c>
      <c r="B18" s="115"/>
      <c r="C18" s="271"/>
      <c r="D18" s="152" t="str">
        <f>D7</f>
        <v>2021</v>
      </c>
      <c r="E18" s="152" t="s">
        <v>93</v>
      </c>
      <c r="F18" s="203">
        <v>2022</v>
      </c>
      <c r="G18" s="168"/>
      <c r="H18" s="96"/>
      <c r="I18" s="286"/>
      <c r="J18" s="2"/>
      <c r="L18" s="250"/>
      <c r="M18" s="250"/>
      <c r="N18" s="250"/>
      <c r="O18" s="250" t="s">
        <v>261</v>
      </c>
      <c r="P18" s="250"/>
      <c r="Q18" s="250"/>
      <c r="R18" s="250"/>
      <c r="S18" s="251">
        <v>9705</v>
      </c>
      <c r="T18" s="251">
        <v>64459</v>
      </c>
      <c r="U18" s="251">
        <v>-54754</v>
      </c>
      <c r="V18" s="252">
        <v>0.15056</v>
      </c>
    </row>
    <row r="19" spans="1:22" ht="13.5" thickBot="1" x14ac:dyDescent="0.25">
      <c r="A19" s="37" t="s">
        <v>27</v>
      </c>
      <c r="B19" s="115"/>
      <c r="C19" s="271"/>
      <c r="D19" s="153"/>
      <c r="E19" s="153"/>
      <c r="F19" s="133"/>
      <c r="G19" s="170" t="s">
        <v>0</v>
      </c>
      <c r="H19" s="98" t="s">
        <v>9</v>
      </c>
      <c r="I19" s="286"/>
      <c r="J19" s="2"/>
      <c r="L19" s="250"/>
      <c r="M19" s="250"/>
      <c r="N19" s="250"/>
      <c r="O19" s="250" t="s">
        <v>262</v>
      </c>
      <c r="P19" s="250"/>
      <c r="Q19" s="250"/>
      <c r="R19" s="250"/>
      <c r="S19" s="251">
        <v>2366</v>
      </c>
      <c r="T19" s="251">
        <v>21000</v>
      </c>
      <c r="U19" s="251">
        <v>-18634</v>
      </c>
      <c r="V19" s="252">
        <v>0.11267000000000001</v>
      </c>
    </row>
    <row r="20" spans="1:22" ht="13.5" thickBot="1" x14ac:dyDescent="0.25">
      <c r="A20" s="141" t="s">
        <v>238</v>
      </c>
      <c r="B20" s="167"/>
      <c r="C20" s="271"/>
      <c r="D20" s="171"/>
      <c r="E20" s="171"/>
      <c r="F20" s="140"/>
      <c r="G20" s="172"/>
      <c r="H20" s="94"/>
      <c r="I20" s="286"/>
      <c r="J20" s="2"/>
      <c r="L20" s="250"/>
      <c r="M20" s="250"/>
      <c r="N20" s="250"/>
      <c r="O20" s="250" t="s">
        <v>263</v>
      </c>
      <c r="P20" s="250"/>
      <c r="Q20" s="250"/>
      <c r="R20" s="250"/>
      <c r="S20" s="251"/>
      <c r="T20" s="251"/>
      <c r="U20" s="251"/>
      <c r="V20" s="252"/>
    </row>
    <row r="21" spans="1:22" x14ac:dyDescent="0.2">
      <c r="A21" s="41" t="s">
        <v>87</v>
      </c>
      <c r="B21" s="144">
        <v>301</v>
      </c>
      <c r="C21" s="271">
        <v>0.08</v>
      </c>
      <c r="D21" s="123">
        <v>1000</v>
      </c>
      <c r="E21" s="123">
        <v>4000</v>
      </c>
      <c r="F21" s="133">
        <v>3000</v>
      </c>
      <c r="G21" s="115">
        <f t="shared" ref="G21:G32" si="2">F21-E21</f>
        <v>-1000</v>
      </c>
      <c r="H21" s="11">
        <f t="shared" ref="H21:H33" si="3">G21/E21</f>
        <v>-0.25</v>
      </c>
      <c r="I21" s="286"/>
      <c r="J21" s="2"/>
      <c r="L21" s="250"/>
      <c r="M21" s="250"/>
      <c r="N21" s="250"/>
      <c r="O21" s="250"/>
      <c r="P21" s="250" t="s">
        <v>264</v>
      </c>
      <c r="Q21" s="250"/>
      <c r="R21" s="250"/>
      <c r="S21" s="251">
        <v>2651</v>
      </c>
      <c r="T21" s="251">
        <v>35000</v>
      </c>
      <c r="U21" s="251">
        <v>-32349</v>
      </c>
      <c r="V21" s="252">
        <v>7.5740000000000002E-2</v>
      </c>
    </row>
    <row r="22" spans="1:22" x14ac:dyDescent="0.2">
      <c r="A22" s="39" t="s">
        <v>326</v>
      </c>
      <c r="B22" s="115" t="s">
        <v>385</v>
      </c>
      <c r="C22" s="271">
        <v>0</v>
      </c>
      <c r="D22" s="123">
        <v>0</v>
      </c>
      <c r="E22" s="123">
        <v>200</v>
      </c>
      <c r="F22" s="133"/>
      <c r="G22" s="115">
        <f t="shared" si="2"/>
        <v>-200</v>
      </c>
      <c r="H22" s="11">
        <f t="shared" si="3"/>
        <v>-1</v>
      </c>
      <c r="I22" s="285" t="s">
        <v>331</v>
      </c>
      <c r="J22" s="2"/>
      <c r="L22" s="250"/>
      <c r="M22" s="250"/>
      <c r="N22" s="250"/>
      <c r="O22" s="250"/>
      <c r="P22" s="250" t="s">
        <v>265</v>
      </c>
      <c r="Q22" s="250"/>
      <c r="R22" s="250"/>
      <c r="S22" s="251">
        <v>441</v>
      </c>
      <c r="T22" s="251">
        <v>0</v>
      </c>
      <c r="U22" s="251">
        <v>441</v>
      </c>
      <c r="V22" s="252">
        <v>1</v>
      </c>
    </row>
    <row r="23" spans="1:22" ht="13.5" thickBot="1" x14ac:dyDescent="0.25">
      <c r="A23" s="41" t="s">
        <v>50</v>
      </c>
      <c r="B23" s="115">
        <v>558</v>
      </c>
      <c r="C23" s="271">
        <v>0.7</v>
      </c>
      <c r="D23" s="123">
        <f>B23*1.25</f>
        <v>697.5</v>
      </c>
      <c r="E23" s="123">
        <v>800</v>
      </c>
      <c r="F23" s="133">
        <f>E23*1.02</f>
        <v>816</v>
      </c>
      <c r="G23" s="115">
        <f t="shared" si="2"/>
        <v>16</v>
      </c>
      <c r="H23" s="11">
        <f t="shared" si="3"/>
        <v>0.02</v>
      </c>
      <c r="I23" s="286"/>
      <c r="J23" s="2"/>
      <c r="L23" s="250"/>
      <c r="M23" s="250"/>
      <c r="N23" s="250"/>
      <c r="O23" s="250"/>
      <c r="P23" s="250" t="s">
        <v>266</v>
      </c>
      <c r="Q23" s="250"/>
      <c r="R23" s="250"/>
      <c r="S23" s="251">
        <v>4068</v>
      </c>
      <c r="T23" s="251">
        <v>0</v>
      </c>
      <c r="U23" s="251">
        <v>4068</v>
      </c>
      <c r="V23" s="252">
        <v>1</v>
      </c>
    </row>
    <row r="24" spans="1:22" ht="13.5" thickBot="1" x14ac:dyDescent="0.25">
      <c r="A24" s="39" t="s">
        <v>24</v>
      </c>
      <c r="B24" s="115" t="s">
        <v>385</v>
      </c>
      <c r="C24" s="271">
        <v>0</v>
      </c>
      <c r="D24" s="123">
        <v>15000</v>
      </c>
      <c r="E24" s="123">
        <v>15974.5</v>
      </c>
      <c r="F24" s="133">
        <f>E24*1.02</f>
        <v>16293.99</v>
      </c>
      <c r="G24" s="115">
        <f t="shared" si="2"/>
        <v>319.48999999999978</v>
      </c>
      <c r="H24" s="11">
        <f t="shared" si="3"/>
        <v>1.9999999999999987E-2</v>
      </c>
      <c r="I24" s="286"/>
      <c r="J24" s="2"/>
      <c r="L24" s="250"/>
      <c r="M24" s="250"/>
      <c r="N24" s="250"/>
      <c r="O24" s="250" t="s">
        <v>267</v>
      </c>
      <c r="P24" s="250"/>
      <c r="Q24" s="250"/>
      <c r="R24" s="250"/>
      <c r="S24" s="255">
        <v>7160</v>
      </c>
      <c r="T24" s="255">
        <v>35000</v>
      </c>
      <c r="U24" s="255">
        <v>-27840</v>
      </c>
      <c r="V24" s="256">
        <v>0.20457</v>
      </c>
    </row>
    <row r="25" spans="1:22" ht="13.5" thickBot="1" x14ac:dyDescent="0.25">
      <c r="A25" s="39" t="s">
        <v>85</v>
      </c>
      <c r="B25" s="115">
        <v>5260</v>
      </c>
      <c r="C25" s="271">
        <v>0.56999999999999995</v>
      </c>
      <c r="D25" s="123">
        <v>8000</v>
      </c>
      <c r="E25" s="123">
        <v>9180</v>
      </c>
      <c r="F25" s="133">
        <f>E25*1.02</f>
        <v>9363.6</v>
      </c>
      <c r="G25" s="115">
        <f t="shared" si="2"/>
        <v>183.60000000000036</v>
      </c>
      <c r="H25" s="11">
        <f t="shared" si="3"/>
        <v>2.0000000000000039E-2</v>
      </c>
      <c r="I25" s="285" t="s">
        <v>245</v>
      </c>
      <c r="J25" s="2"/>
      <c r="L25" s="250"/>
      <c r="M25" s="250"/>
      <c r="N25" s="250" t="s">
        <v>116</v>
      </c>
      <c r="O25" s="250"/>
      <c r="P25" s="250"/>
      <c r="Q25" s="250"/>
      <c r="R25" s="250"/>
      <c r="S25" s="257">
        <v>628405</v>
      </c>
      <c r="T25" s="257">
        <v>883887</v>
      </c>
      <c r="U25" s="257">
        <v>-255482</v>
      </c>
      <c r="V25" s="258">
        <v>0.71096000000000004</v>
      </c>
    </row>
    <row r="26" spans="1:22" x14ac:dyDescent="0.2">
      <c r="A26" s="39" t="s">
        <v>25</v>
      </c>
      <c r="B26" s="115">
        <v>550</v>
      </c>
      <c r="C26" s="271">
        <v>0.55000000000000004</v>
      </c>
      <c r="D26" s="123">
        <v>1000</v>
      </c>
      <c r="E26" s="123">
        <v>1000</v>
      </c>
      <c r="F26" s="133">
        <v>5000</v>
      </c>
      <c r="G26" s="115">
        <f t="shared" si="2"/>
        <v>4000</v>
      </c>
      <c r="H26" s="11">
        <f t="shared" si="3"/>
        <v>4</v>
      </c>
      <c r="I26" s="285" t="s">
        <v>411</v>
      </c>
      <c r="J26" s="2"/>
      <c r="L26" s="250"/>
      <c r="M26" s="250" t="s">
        <v>117</v>
      </c>
      <c r="N26" s="250"/>
      <c r="O26" s="250"/>
      <c r="P26" s="250"/>
      <c r="Q26" s="250"/>
      <c r="R26" s="250"/>
      <c r="S26" s="251">
        <v>628405</v>
      </c>
      <c r="T26" s="251">
        <v>883887</v>
      </c>
      <c r="U26" s="251">
        <v>-255482</v>
      </c>
      <c r="V26" s="252">
        <v>0.71096000000000004</v>
      </c>
    </row>
    <row r="27" spans="1:22" x14ac:dyDescent="0.2">
      <c r="A27" s="41" t="s">
        <v>2</v>
      </c>
      <c r="B27" s="115">
        <v>10381</v>
      </c>
      <c r="C27" s="271">
        <v>0.73</v>
      </c>
      <c r="D27" s="123">
        <f>B27*1.25</f>
        <v>12976.25</v>
      </c>
      <c r="E27" s="123">
        <v>14280</v>
      </c>
      <c r="F27" s="133">
        <f>E27*1.02</f>
        <v>14565.6</v>
      </c>
      <c r="G27" s="115">
        <f t="shared" si="2"/>
        <v>285.60000000000036</v>
      </c>
      <c r="H27" s="11">
        <f t="shared" si="3"/>
        <v>2.0000000000000025E-2</v>
      </c>
      <c r="I27" s="286"/>
      <c r="J27" s="2"/>
      <c r="L27" s="250"/>
      <c r="M27" s="250"/>
      <c r="N27" s="250" t="s">
        <v>118</v>
      </c>
      <c r="O27" s="250"/>
      <c r="P27" s="250"/>
      <c r="Q27" s="250"/>
      <c r="R27" s="250"/>
      <c r="S27" s="251"/>
      <c r="T27" s="251"/>
      <c r="U27" s="251"/>
      <c r="V27" s="252"/>
    </row>
    <row r="28" spans="1:22" x14ac:dyDescent="0.2">
      <c r="A28" s="41" t="s">
        <v>84</v>
      </c>
      <c r="B28" s="115">
        <v>169000</v>
      </c>
      <c r="C28" s="271">
        <v>0.83</v>
      </c>
      <c r="D28" s="124">
        <v>204000</v>
      </c>
      <c r="E28" s="123">
        <v>204000</v>
      </c>
      <c r="F28" s="133">
        <v>221000</v>
      </c>
      <c r="G28" s="115">
        <f t="shared" si="2"/>
        <v>17000</v>
      </c>
      <c r="H28" s="11">
        <f t="shared" si="3"/>
        <v>8.3333333333333329E-2</v>
      </c>
      <c r="I28" s="285" t="s">
        <v>388</v>
      </c>
      <c r="J28" s="2"/>
      <c r="L28" s="250"/>
      <c r="M28" s="250"/>
      <c r="N28" s="250"/>
      <c r="O28" s="250" t="s">
        <v>27</v>
      </c>
      <c r="P28" s="250"/>
      <c r="Q28" s="250"/>
      <c r="R28" s="250"/>
      <c r="S28" s="251"/>
      <c r="T28" s="251"/>
      <c r="U28" s="251"/>
      <c r="V28" s="252"/>
    </row>
    <row r="29" spans="1:22" ht="13.5" customHeight="1" x14ac:dyDescent="0.2">
      <c r="A29" s="39" t="s">
        <v>427</v>
      </c>
      <c r="B29" s="142">
        <v>125950</v>
      </c>
      <c r="C29" s="271">
        <v>4.5</v>
      </c>
      <c r="D29" s="123">
        <v>200000</v>
      </c>
      <c r="E29" s="123">
        <v>28000</v>
      </c>
      <c r="F29" s="133">
        <v>75000</v>
      </c>
      <c r="G29" s="115">
        <f t="shared" si="2"/>
        <v>47000</v>
      </c>
      <c r="H29" s="11">
        <f t="shared" si="3"/>
        <v>1.6785714285714286</v>
      </c>
      <c r="I29" s="285" t="s">
        <v>394</v>
      </c>
      <c r="J29" s="2"/>
      <c r="L29" s="250"/>
      <c r="M29" s="250"/>
      <c r="N29" s="250"/>
      <c r="O29" s="250"/>
      <c r="P29" s="250" t="s">
        <v>49</v>
      </c>
      <c r="Q29" s="250"/>
      <c r="R29" s="250"/>
      <c r="S29" s="251">
        <v>301</v>
      </c>
      <c r="T29" s="251">
        <v>4000</v>
      </c>
      <c r="U29" s="251">
        <v>-3699</v>
      </c>
      <c r="V29" s="252">
        <v>7.5249999999999997E-2</v>
      </c>
    </row>
    <row r="30" spans="1:22" x14ac:dyDescent="0.2">
      <c r="A30" s="39" t="s">
        <v>239</v>
      </c>
      <c r="B30" s="115">
        <v>268</v>
      </c>
      <c r="C30" s="271">
        <v>0.15</v>
      </c>
      <c r="D30" s="123">
        <v>1100</v>
      </c>
      <c r="E30" s="123">
        <v>1800</v>
      </c>
      <c r="F30" s="133">
        <v>2000</v>
      </c>
      <c r="G30" s="115">
        <f t="shared" si="2"/>
        <v>200</v>
      </c>
      <c r="H30" s="11">
        <f t="shared" si="3"/>
        <v>0.1111111111111111</v>
      </c>
      <c r="I30" s="285" t="s">
        <v>328</v>
      </c>
      <c r="J30" s="2"/>
      <c r="L30" s="250"/>
      <c r="M30" s="250"/>
      <c r="N30" s="250"/>
      <c r="O30" s="250"/>
      <c r="P30" s="250" t="s">
        <v>268</v>
      </c>
      <c r="Q30" s="250"/>
      <c r="R30" s="250"/>
      <c r="S30" s="251">
        <v>0</v>
      </c>
      <c r="T30" s="251">
        <v>200</v>
      </c>
      <c r="U30" s="251">
        <v>-200</v>
      </c>
      <c r="V30" s="252">
        <v>0</v>
      </c>
    </row>
    <row r="31" spans="1:22" x14ac:dyDescent="0.2">
      <c r="A31" s="39" t="s">
        <v>23</v>
      </c>
      <c r="B31" s="115" t="s">
        <v>385</v>
      </c>
      <c r="C31" s="271">
        <v>0</v>
      </c>
      <c r="D31" s="123">
        <v>1200</v>
      </c>
      <c r="E31" s="123">
        <v>1836</v>
      </c>
      <c r="F31" s="133">
        <f>E31*1.02</f>
        <v>1872.72</v>
      </c>
      <c r="G31" s="115">
        <f t="shared" si="2"/>
        <v>36.720000000000027</v>
      </c>
      <c r="H31" s="11">
        <f t="shared" si="3"/>
        <v>2.0000000000000014E-2</v>
      </c>
      <c r="I31" s="286"/>
      <c r="J31" s="2"/>
      <c r="L31" s="250"/>
      <c r="M31" s="250"/>
      <c r="N31" s="250"/>
      <c r="O31" s="250"/>
      <c r="P31" s="250" t="s">
        <v>269</v>
      </c>
      <c r="Q31" s="250"/>
      <c r="R31" s="250"/>
      <c r="S31" s="251">
        <v>558</v>
      </c>
      <c r="T31" s="251">
        <v>800</v>
      </c>
      <c r="U31" s="251">
        <v>-242</v>
      </c>
      <c r="V31" s="252">
        <v>0.69750000000000001</v>
      </c>
    </row>
    <row r="32" spans="1:22" x14ac:dyDescent="0.2">
      <c r="A32" s="39" t="s">
        <v>31</v>
      </c>
      <c r="B32" s="115">
        <v>4178</v>
      </c>
      <c r="C32" s="271">
        <v>0.6</v>
      </c>
      <c r="D32" s="123">
        <f>B32*1.25</f>
        <v>5222.5</v>
      </c>
      <c r="E32" s="123">
        <v>7000</v>
      </c>
      <c r="F32" s="133">
        <f>E32*1.02</f>
        <v>7140</v>
      </c>
      <c r="G32" s="115">
        <f t="shared" si="2"/>
        <v>140</v>
      </c>
      <c r="H32" s="11">
        <f t="shared" si="3"/>
        <v>0.02</v>
      </c>
      <c r="I32" s="286"/>
      <c r="J32" s="2"/>
      <c r="L32" s="250"/>
      <c r="M32" s="250"/>
      <c r="N32" s="250"/>
      <c r="O32" s="250"/>
      <c r="P32" s="250" t="s">
        <v>270</v>
      </c>
      <c r="Q32" s="250"/>
      <c r="R32" s="250"/>
      <c r="S32" s="251">
        <v>0</v>
      </c>
      <c r="T32" s="251">
        <v>15975</v>
      </c>
      <c r="U32" s="251">
        <v>-15975</v>
      </c>
      <c r="V32" s="252">
        <v>0</v>
      </c>
    </row>
    <row r="33" spans="1:22" ht="15.75" x14ac:dyDescent="0.25">
      <c r="A33" s="227" t="s">
        <v>48</v>
      </c>
      <c r="B33" s="196">
        <v>316446</v>
      </c>
      <c r="C33" s="271">
        <v>1.1000000000000001</v>
      </c>
      <c r="D33" s="207">
        <f>SUM(D21:D32)</f>
        <v>450196.25</v>
      </c>
      <c r="E33" s="207">
        <v>288070.5</v>
      </c>
      <c r="F33" s="208">
        <f>SUM(F21:F32)</f>
        <v>356051.91</v>
      </c>
      <c r="G33" s="209">
        <f>SUM(G21:G32)</f>
        <v>67981.41</v>
      </c>
      <c r="H33" s="200">
        <f t="shared" si="3"/>
        <v>0.2359887944097018</v>
      </c>
      <c r="I33" s="286"/>
      <c r="J33" s="2"/>
      <c r="L33" s="250"/>
      <c r="M33" s="250"/>
      <c r="N33" s="250"/>
      <c r="O33" s="250"/>
      <c r="P33" s="250" t="s">
        <v>271</v>
      </c>
      <c r="Q33" s="250"/>
      <c r="R33" s="250"/>
      <c r="S33" s="251"/>
      <c r="T33" s="251"/>
      <c r="U33" s="251"/>
      <c r="V33" s="252"/>
    </row>
    <row r="34" spans="1:22" ht="13.5" thickBot="1" x14ac:dyDescent="0.25">
      <c r="A34" s="204"/>
      <c r="B34" s="193"/>
      <c r="C34" s="271"/>
      <c r="D34" s="205"/>
      <c r="E34" s="205"/>
      <c r="F34" s="205"/>
      <c r="G34" s="206"/>
      <c r="H34" s="12"/>
      <c r="I34" s="286"/>
      <c r="J34" s="2"/>
      <c r="L34" s="250"/>
      <c r="M34" s="250"/>
      <c r="N34" s="250"/>
      <c r="O34" s="250"/>
      <c r="P34" s="250"/>
      <c r="Q34" s="250" t="s">
        <v>272</v>
      </c>
      <c r="R34" s="250"/>
      <c r="S34" s="251">
        <v>2246</v>
      </c>
      <c r="T34" s="251">
        <v>9180</v>
      </c>
      <c r="U34" s="251">
        <v>-6934</v>
      </c>
      <c r="V34" s="252">
        <v>0.24465999999999999</v>
      </c>
    </row>
    <row r="35" spans="1:22" ht="13.5" thickBot="1" x14ac:dyDescent="0.25">
      <c r="A35" s="38" t="s">
        <v>46</v>
      </c>
      <c r="B35" s="115"/>
      <c r="C35" s="271"/>
      <c r="D35" s="121"/>
      <c r="E35" s="121"/>
      <c r="F35" s="133"/>
      <c r="G35" s="115"/>
      <c r="H35" s="11"/>
      <c r="I35" s="286"/>
      <c r="J35" s="2"/>
      <c r="L35" s="250"/>
      <c r="M35" s="250"/>
      <c r="N35" s="250"/>
      <c r="O35" s="250"/>
      <c r="P35" s="250"/>
      <c r="Q35" s="250" t="s">
        <v>273</v>
      </c>
      <c r="R35" s="250"/>
      <c r="S35" s="253">
        <v>3014</v>
      </c>
      <c r="T35" s="253">
        <v>0</v>
      </c>
      <c r="U35" s="253">
        <v>3014</v>
      </c>
      <c r="V35" s="254">
        <v>1</v>
      </c>
    </row>
    <row r="36" spans="1:22" x14ac:dyDescent="0.2">
      <c r="A36" s="38" t="s">
        <v>44</v>
      </c>
      <c r="B36" s="115"/>
      <c r="C36" s="271"/>
      <c r="D36" s="121"/>
      <c r="E36" s="121"/>
      <c r="F36" s="133"/>
      <c r="G36" s="115"/>
      <c r="H36" s="11"/>
      <c r="I36" s="286"/>
      <c r="J36" s="2"/>
      <c r="L36" s="250"/>
      <c r="M36" s="250"/>
      <c r="N36" s="250"/>
      <c r="O36" s="250"/>
      <c r="P36" s="250" t="s">
        <v>274</v>
      </c>
      <c r="Q36" s="250"/>
      <c r="R36" s="250"/>
      <c r="S36" s="251">
        <v>5260</v>
      </c>
      <c r="T36" s="251">
        <v>9180</v>
      </c>
      <c r="U36" s="251">
        <v>-3920</v>
      </c>
      <c r="V36" s="252">
        <v>0.57298000000000004</v>
      </c>
    </row>
    <row r="37" spans="1:22" x14ac:dyDescent="0.2">
      <c r="A37" s="39" t="s">
        <v>223</v>
      </c>
      <c r="B37" s="144">
        <v>544</v>
      </c>
      <c r="C37" s="271">
        <v>0.36</v>
      </c>
      <c r="D37" s="121">
        <v>1100</v>
      </c>
      <c r="E37" s="121">
        <v>1530</v>
      </c>
      <c r="F37" s="133">
        <f>E37*1.02+200</f>
        <v>1760.6000000000001</v>
      </c>
      <c r="G37" s="115">
        <f t="shared" ref="G37:G55" si="4">F37-E37</f>
        <v>230.60000000000014</v>
      </c>
      <c r="H37" s="11">
        <f>G37/E37</f>
        <v>0.15071895424836609</v>
      </c>
      <c r="I37" s="286"/>
      <c r="J37" s="2"/>
      <c r="L37" s="250"/>
      <c r="M37" s="250"/>
      <c r="N37" s="250"/>
      <c r="O37" s="250"/>
      <c r="P37" s="250" t="s">
        <v>275</v>
      </c>
      <c r="Q37" s="250"/>
      <c r="R37" s="250"/>
      <c r="S37" s="251">
        <v>550</v>
      </c>
      <c r="T37" s="251">
        <v>1000</v>
      </c>
      <c r="U37" s="251">
        <v>-450</v>
      </c>
      <c r="V37" s="252">
        <v>0.55000000000000004</v>
      </c>
    </row>
    <row r="38" spans="1:22" x14ac:dyDescent="0.2">
      <c r="A38" s="39" t="s">
        <v>33</v>
      </c>
      <c r="B38" s="115">
        <v>187</v>
      </c>
      <c r="C38" s="271">
        <v>0.15</v>
      </c>
      <c r="D38" s="121">
        <v>1100</v>
      </c>
      <c r="E38" s="121">
        <v>1224</v>
      </c>
      <c r="F38" s="133">
        <f>E38*1.02</f>
        <v>1248.48</v>
      </c>
      <c r="G38" s="115">
        <f t="shared" si="4"/>
        <v>24.480000000000018</v>
      </c>
      <c r="H38" s="11">
        <f>G38/E38</f>
        <v>2.0000000000000014E-2</v>
      </c>
      <c r="I38" s="286"/>
      <c r="L38" s="250"/>
      <c r="M38" s="250"/>
      <c r="N38" s="250"/>
      <c r="O38" s="250"/>
      <c r="P38" s="250" t="s">
        <v>276</v>
      </c>
      <c r="Q38" s="250"/>
      <c r="R38" s="250"/>
      <c r="S38" s="251"/>
      <c r="T38" s="251"/>
      <c r="U38" s="251"/>
      <c r="V38" s="252"/>
    </row>
    <row r="39" spans="1:22" x14ac:dyDescent="0.2">
      <c r="A39" s="39" t="s">
        <v>34</v>
      </c>
      <c r="B39" s="115">
        <v>342</v>
      </c>
      <c r="C39" s="271">
        <v>0.43</v>
      </c>
      <c r="D39" s="121">
        <f>E39</f>
        <v>800</v>
      </c>
      <c r="E39" s="121">
        <v>800</v>
      </c>
      <c r="F39" s="133">
        <v>2000</v>
      </c>
      <c r="G39" s="115">
        <f t="shared" si="4"/>
        <v>1200</v>
      </c>
      <c r="H39" s="11">
        <f>G39/E39</f>
        <v>1.5</v>
      </c>
      <c r="I39" s="285" t="s">
        <v>247</v>
      </c>
      <c r="L39" s="250"/>
      <c r="M39" s="250"/>
      <c r="N39" s="250"/>
      <c r="O39" s="250"/>
      <c r="P39" s="250"/>
      <c r="Q39" s="250" t="s">
        <v>277</v>
      </c>
      <c r="R39" s="250"/>
      <c r="S39" s="251">
        <v>1749</v>
      </c>
      <c r="T39" s="251">
        <v>2280</v>
      </c>
      <c r="U39" s="251">
        <v>-531</v>
      </c>
      <c r="V39" s="252">
        <v>0.76710999999999996</v>
      </c>
    </row>
    <row r="40" spans="1:22" x14ac:dyDescent="0.2">
      <c r="A40" s="39" t="s">
        <v>35</v>
      </c>
      <c r="B40" s="115">
        <v>21</v>
      </c>
      <c r="C40" s="271">
        <v>0.03</v>
      </c>
      <c r="D40" s="121">
        <v>500</v>
      </c>
      <c r="E40" s="121">
        <v>650</v>
      </c>
      <c r="F40" s="133">
        <v>650</v>
      </c>
      <c r="G40" s="115">
        <f t="shared" si="4"/>
        <v>0</v>
      </c>
      <c r="H40" s="11">
        <f>G40/E40</f>
        <v>0</v>
      </c>
      <c r="I40" s="286"/>
      <c r="L40" s="250"/>
      <c r="M40" s="250"/>
      <c r="N40" s="250"/>
      <c r="O40" s="250"/>
      <c r="P40" s="250"/>
      <c r="Q40" s="250" t="s">
        <v>278</v>
      </c>
      <c r="R40" s="250"/>
      <c r="S40" s="251">
        <v>250</v>
      </c>
      <c r="T40" s="251">
        <v>0</v>
      </c>
      <c r="U40" s="251">
        <v>250</v>
      </c>
      <c r="V40" s="252">
        <v>1</v>
      </c>
    </row>
    <row r="41" spans="1:22" x14ac:dyDescent="0.2">
      <c r="A41" s="38" t="s">
        <v>43</v>
      </c>
      <c r="B41" s="115"/>
      <c r="C41" s="271"/>
      <c r="D41" s="121"/>
      <c r="E41" s="121"/>
      <c r="F41" s="133"/>
      <c r="G41" s="115">
        <f t="shared" si="4"/>
        <v>0</v>
      </c>
      <c r="H41" s="11"/>
      <c r="I41" s="286"/>
      <c r="L41" s="250"/>
      <c r="M41" s="250"/>
      <c r="N41" s="250"/>
      <c r="O41" s="250"/>
      <c r="P41" s="250"/>
      <c r="Q41" s="250" t="s">
        <v>279</v>
      </c>
      <c r="R41" s="250"/>
      <c r="S41" s="251">
        <v>3132</v>
      </c>
      <c r="T41" s="251">
        <v>1200</v>
      </c>
      <c r="U41" s="251">
        <v>1932</v>
      </c>
      <c r="V41" s="252">
        <v>2.61</v>
      </c>
    </row>
    <row r="42" spans="1:22" x14ac:dyDescent="0.2">
      <c r="A42" s="39" t="s">
        <v>39</v>
      </c>
      <c r="B42" s="115">
        <v>5281</v>
      </c>
      <c r="C42" s="271">
        <v>0.26</v>
      </c>
      <c r="D42" s="121">
        <v>8500</v>
      </c>
      <c r="E42" s="121">
        <v>20000</v>
      </c>
      <c r="F42" s="133">
        <v>18000</v>
      </c>
      <c r="G42" s="115">
        <f t="shared" si="4"/>
        <v>-2000</v>
      </c>
      <c r="H42" s="11">
        <f t="shared" ref="H42:H47" si="5">G42/E42</f>
        <v>-0.1</v>
      </c>
      <c r="I42" s="285" t="s">
        <v>332</v>
      </c>
      <c r="L42" s="250"/>
      <c r="M42" s="250"/>
      <c r="N42" s="250"/>
      <c r="O42" s="250"/>
      <c r="P42" s="250"/>
      <c r="Q42" s="250" t="s">
        <v>280</v>
      </c>
      <c r="R42" s="250"/>
      <c r="S42" s="251">
        <v>1670</v>
      </c>
      <c r="T42" s="251">
        <v>6000</v>
      </c>
      <c r="U42" s="251">
        <v>-4330</v>
      </c>
      <c r="V42" s="252">
        <v>0.27833000000000002</v>
      </c>
    </row>
    <row r="43" spans="1:22" x14ac:dyDescent="0.2">
      <c r="A43" s="39" t="s">
        <v>51</v>
      </c>
      <c r="B43" s="115">
        <v>480</v>
      </c>
      <c r="C43" s="271">
        <v>0.05</v>
      </c>
      <c r="D43" s="121">
        <f>B43+1500</f>
        <v>1980</v>
      </c>
      <c r="E43" s="121">
        <v>10000</v>
      </c>
      <c r="F43" s="133">
        <v>10000</v>
      </c>
      <c r="G43" s="115">
        <f t="shared" si="4"/>
        <v>0</v>
      </c>
      <c r="H43" s="11">
        <f t="shared" si="5"/>
        <v>0</v>
      </c>
      <c r="I43" s="286"/>
      <c r="L43" s="250"/>
      <c r="M43" s="250"/>
      <c r="N43" s="250"/>
      <c r="O43" s="250"/>
      <c r="P43" s="250"/>
      <c r="Q43" s="250" t="s">
        <v>281</v>
      </c>
      <c r="R43" s="250"/>
      <c r="S43" s="251">
        <v>3110</v>
      </c>
      <c r="T43" s="251">
        <v>4800</v>
      </c>
      <c r="U43" s="251">
        <v>-1690</v>
      </c>
      <c r="V43" s="252">
        <v>0.64792000000000005</v>
      </c>
    </row>
    <row r="44" spans="1:22" ht="13.5" thickBot="1" x14ac:dyDescent="0.25">
      <c r="A44" s="39" t="s">
        <v>29</v>
      </c>
      <c r="B44" s="142">
        <v>5149</v>
      </c>
      <c r="C44" s="271">
        <v>1.1399999999999999</v>
      </c>
      <c r="D44" s="121">
        <v>4500</v>
      </c>
      <c r="E44" s="121">
        <v>4500</v>
      </c>
      <c r="F44" s="133">
        <f>E44*1.02</f>
        <v>4590</v>
      </c>
      <c r="G44" s="115">
        <f t="shared" si="4"/>
        <v>90</v>
      </c>
      <c r="H44" s="11">
        <f t="shared" si="5"/>
        <v>0.02</v>
      </c>
      <c r="I44" s="285" t="s">
        <v>333</v>
      </c>
      <c r="L44" s="250"/>
      <c r="M44" s="250"/>
      <c r="N44" s="250"/>
      <c r="O44" s="250"/>
      <c r="P44" s="250"/>
      <c r="Q44" s="250" t="s">
        <v>282</v>
      </c>
      <c r="R44" s="250"/>
      <c r="S44" s="253">
        <v>470</v>
      </c>
      <c r="T44" s="253">
        <v>0</v>
      </c>
      <c r="U44" s="253">
        <v>470</v>
      </c>
      <c r="V44" s="254">
        <v>1</v>
      </c>
    </row>
    <row r="45" spans="1:22" x14ac:dyDescent="0.2">
      <c r="A45" s="39" t="s">
        <v>36</v>
      </c>
      <c r="B45" s="143">
        <v>5777</v>
      </c>
      <c r="C45" s="271">
        <v>0.96</v>
      </c>
      <c r="D45" s="121">
        <f>B45*1.17</f>
        <v>6759.0899999999992</v>
      </c>
      <c r="E45" s="121">
        <v>6000</v>
      </c>
      <c r="F45" s="133">
        <v>8000</v>
      </c>
      <c r="G45" s="115">
        <f t="shared" si="4"/>
        <v>2000</v>
      </c>
      <c r="H45" s="11">
        <f t="shared" si="5"/>
        <v>0.33333333333333331</v>
      </c>
      <c r="I45" s="285" t="s">
        <v>334</v>
      </c>
      <c r="L45" s="250"/>
      <c r="M45" s="250"/>
      <c r="N45" s="250"/>
      <c r="O45" s="250"/>
      <c r="P45" s="250" t="s">
        <v>283</v>
      </c>
      <c r="Q45" s="250"/>
      <c r="R45" s="250"/>
      <c r="S45" s="251">
        <v>10381</v>
      </c>
      <c r="T45" s="251">
        <v>14280</v>
      </c>
      <c r="U45" s="251">
        <v>-3899</v>
      </c>
      <c r="V45" s="252">
        <v>0.72696000000000005</v>
      </c>
    </row>
    <row r="46" spans="1:22" x14ac:dyDescent="0.2">
      <c r="A46" s="39" t="s">
        <v>40</v>
      </c>
      <c r="B46" s="143">
        <v>664</v>
      </c>
      <c r="C46" s="271">
        <v>0.08</v>
      </c>
      <c r="D46" s="121">
        <f>B46-6500+8000</f>
        <v>2164</v>
      </c>
      <c r="E46" s="121">
        <v>8500</v>
      </c>
      <c r="F46" s="133">
        <f>E46*1.02</f>
        <v>8670</v>
      </c>
      <c r="G46" s="115">
        <f t="shared" si="4"/>
        <v>170</v>
      </c>
      <c r="H46" s="11">
        <f t="shared" si="5"/>
        <v>0.02</v>
      </c>
      <c r="I46" s="286"/>
      <c r="L46" s="250"/>
      <c r="M46" s="250"/>
      <c r="N46" s="250"/>
      <c r="O46" s="250"/>
      <c r="P46" s="250" t="s">
        <v>284</v>
      </c>
      <c r="Q46" s="250"/>
      <c r="R46" s="250"/>
      <c r="S46" s="251"/>
      <c r="T46" s="251"/>
      <c r="U46" s="251"/>
      <c r="V46" s="252"/>
    </row>
    <row r="47" spans="1:22" x14ac:dyDescent="0.2">
      <c r="A47" s="39" t="s">
        <v>37</v>
      </c>
      <c r="B47" s="144">
        <v>14581</v>
      </c>
      <c r="C47" s="271">
        <v>0.52</v>
      </c>
      <c r="D47" s="121">
        <v>22000</v>
      </c>
      <c r="E47" s="121">
        <v>28000</v>
      </c>
      <c r="F47" s="133">
        <v>25000</v>
      </c>
      <c r="G47" s="115">
        <f t="shared" si="4"/>
        <v>-3000</v>
      </c>
      <c r="H47" s="11">
        <f t="shared" si="5"/>
        <v>-0.10714285714285714</v>
      </c>
      <c r="I47" s="285" t="s">
        <v>412</v>
      </c>
      <c r="L47" s="250"/>
      <c r="M47" s="250"/>
      <c r="N47" s="250"/>
      <c r="O47" s="250"/>
      <c r="P47" s="250"/>
      <c r="Q47" s="266" t="s">
        <v>285</v>
      </c>
      <c r="R47" s="266"/>
      <c r="S47" s="267"/>
      <c r="T47" s="267"/>
      <c r="U47" s="267"/>
      <c r="V47" s="268"/>
    </row>
    <row r="48" spans="1:22" x14ac:dyDescent="0.2">
      <c r="A48" s="38" t="s">
        <v>42</v>
      </c>
      <c r="B48" s="115"/>
      <c r="C48" s="271"/>
      <c r="D48" s="121"/>
      <c r="E48" s="121"/>
      <c r="F48" s="133"/>
      <c r="G48" s="115">
        <f t="shared" si="4"/>
        <v>0</v>
      </c>
      <c r="H48" s="11"/>
      <c r="I48" s="286"/>
      <c r="L48" s="250"/>
      <c r="M48" s="250"/>
      <c r="N48" s="250"/>
      <c r="O48" s="250"/>
      <c r="P48" s="250"/>
      <c r="Q48" s="266"/>
      <c r="R48" s="266" t="s">
        <v>286</v>
      </c>
      <c r="S48" s="267">
        <v>8527</v>
      </c>
      <c r="T48" s="267">
        <v>6840</v>
      </c>
      <c r="U48" s="267">
        <v>1687</v>
      </c>
      <c r="V48" s="268">
        <v>1.24664</v>
      </c>
    </row>
    <row r="49" spans="1:22" ht="13.5" thickBot="1" x14ac:dyDescent="0.25">
      <c r="A49" s="39" t="s">
        <v>41</v>
      </c>
      <c r="B49" s="115">
        <v>2076</v>
      </c>
      <c r="C49" s="271">
        <v>7.0000000000000007E-2</v>
      </c>
      <c r="D49" s="121">
        <v>13000</v>
      </c>
      <c r="E49" s="121">
        <v>28560</v>
      </c>
      <c r="F49" s="133">
        <f>E49*1.02</f>
        <v>29131.200000000001</v>
      </c>
      <c r="G49" s="115">
        <f t="shared" si="4"/>
        <v>571.20000000000073</v>
      </c>
      <c r="H49" s="11">
        <f t="shared" ref="H49:H55" si="6">G49/E49</f>
        <v>2.0000000000000025E-2</v>
      </c>
      <c r="I49" s="285" t="s">
        <v>335</v>
      </c>
      <c r="L49" s="250"/>
      <c r="M49" s="250"/>
      <c r="N49" s="250"/>
      <c r="O49" s="250"/>
      <c r="P49" s="250"/>
      <c r="Q49" s="266"/>
      <c r="R49" s="266" t="s">
        <v>287</v>
      </c>
      <c r="S49" s="269">
        <v>16611</v>
      </c>
      <c r="T49" s="269">
        <v>162000</v>
      </c>
      <c r="U49" s="269">
        <v>-145389</v>
      </c>
      <c r="V49" s="270">
        <v>0.10254000000000001</v>
      </c>
    </row>
    <row r="50" spans="1:22" x14ac:dyDescent="0.2">
      <c r="A50" s="39" t="s">
        <v>28</v>
      </c>
      <c r="B50" s="115">
        <v>33246</v>
      </c>
      <c r="C50" s="271">
        <v>0.72</v>
      </c>
      <c r="D50" s="532">
        <v>35000</v>
      </c>
      <c r="E50" s="121">
        <v>45900</v>
      </c>
      <c r="F50" s="133">
        <f>E50*1.02</f>
        <v>46818</v>
      </c>
      <c r="G50" s="115">
        <f t="shared" si="4"/>
        <v>918</v>
      </c>
      <c r="H50" s="11">
        <f t="shared" si="6"/>
        <v>0.02</v>
      </c>
      <c r="I50" s="285" t="s">
        <v>336</v>
      </c>
      <c r="L50" s="250"/>
      <c r="M50" s="250"/>
      <c r="N50" s="250"/>
      <c r="O50" s="250"/>
      <c r="P50" s="250"/>
      <c r="Q50" s="266" t="s">
        <v>288</v>
      </c>
      <c r="R50" s="266"/>
      <c r="S50" s="267">
        <v>25138</v>
      </c>
      <c r="T50" s="267">
        <v>168840</v>
      </c>
      <c r="U50" s="267">
        <v>-143702</v>
      </c>
      <c r="V50" s="268">
        <v>0.14888999999999999</v>
      </c>
    </row>
    <row r="51" spans="1:22" x14ac:dyDescent="0.2">
      <c r="A51" s="39" t="s">
        <v>246</v>
      </c>
      <c r="B51" s="144" t="s">
        <v>385</v>
      </c>
      <c r="C51" s="271">
        <v>0</v>
      </c>
      <c r="D51" s="121">
        <v>0</v>
      </c>
      <c r="E51" s="121">
        <v>3000</v>
      </c>
      <c r="F51" s="133">
        <v>5000</v>
      </c>
      <c r="G51" s="115">
        <f t="shared" si="4"/>
        <v>2000</v>
      </c>
      <c r="H51" s="11">
        <f t="shared" si="6"/>
        <v>0.66666666666666663</v>
      </c>
      <c r="I51" s="285" t="s">
        <v>247</v>
      </c>
      <c r="L51" s="250"/>
      <c r="M51" s="250"/>
      <c r="N51" s="250"/>
      <c r="O51" s="250"/>
      <c r="P51" s="250"/>
      <c r="Q51" s="266" t="s">
        <v>289</v>
      </c>
      <c r="R51" s="266"/>
      <c r="S51" s="267"/>
      <c r="T51" s="267"/>
      <c r="U51" s="267"/>
      <c r="V51" s="268"/>
    </row>
    <row r="52" spans="1:22" ht="13.5" thickBot="1" x14ac:dyDescent="0.25">
      <c r="A52" s="39" t="s">
        <v>52</v>
      </c>
      <c r="B52" s="144">
        <v>6</v>
      </c>
      <c r="C52" s="271">
        <v>0</v>
      </c>
      <c r="D52" s="121">
        <v>500</v>
      </c>
      <c r="E52" s="121">
        <v>3000</v>
      </c>
      <c r="F52" s="133">
        <f>E52*1.02</f>
        <v>3060</v>
      </c>
      <c r="G52" s="115">
        <f t="shared" si="4"/>
        <v>60</v>
      </c>
      <c r="H52" s="11">
        <f t="shared" si="6"/>
        <v>0.02</v>
      </c>
      <c r="I52" s="286"/>
      <c r="L52" s="250"/>
      <c r="M52" s="250"/>
      <c r="N52" s="250"/>
      <c r="O52" s="250"/>
      <c r="P52" s="250"/>
      <c r="Q52" s="266"/>
      <c r="R52" s="266" t="s">
        <v>290</v>
      </c>
      <c r="S52" s="269">
        <v>20419</v>
      </c>
      <c r="T52" s="269">
        <v>26400</v>
      </c>
      <c r="U52" s="269">
        <v>-5981</v>
      </c>
      <c r="V52" s="270">
        <v>0.77344999999999997</v>
      </c>
    </row>
    <row r="53" spans="1:22" x14ac:dyDescent="0.2">
      <c r="A53" s="39" t="s">
        <v>53</v>
      </c>
      <c r="B53" s="115">
        <v>118</v>
      </c>
      <c r="C53" s="271">
        <v>0.06</v>
      </c>
      <c r="D53" s="121">
        <v>1400</v>
      </c>
      <c r="E53" s="121">
        <v>2000</v>
      </c>
      <c r="F53" s="133">
        <f>E53*1.02</f>
        <v>2040</v>
      </c>
      <c r="G53" s="115">
        <f t="shared" si="4"/>
        <v>40</v>
      </c>
      <c r="H53" s="11">
        <f t="shared" si="6"/>
        <v>0.02</v>
      </c>
      <c r="I53" s="286"/>
      <c r="L53" s="250"/>
      <c r="M53" s="250"/>
      <c r="N53" s="250"/>
      <c r="O53" s="250"/>
      <c r="P53" s="250"/>
      <c r="Q53" s="266" t="s">
        <v>291</v>
      </c>
      <c r="R53" s="266"/>
      <c r="S53" s="267">
        <v>20419</v>
      </c>
      <c r="T53" s="267">
        <v>26400</v>
      </c>
      <c r="U53" s="267">
        <v>-5981</v>
      </c>
      <c r="V53" s="268">
        <v>0.77344999999999997</v>
      </c>
    </row>
    <row r="54" spans="1:22" ht="13.5" thickBot="1" x14ac:dyDescent="0.25">
      <c r="A54" s="39" t="s">
        <v>20</v>
      </c>
      <c r="B54" s="115">
        <v>783</v>
      </c>
      <c r="C54" s="271">
        <v>0.2</v>
      </c>
      <c r="D54" s="122">
        <v>3500</v>
      </c>
      <c r="E54" s="121">
        <v>4000</v>
      </c>
      <c r="F54" s="133">
        <f>E54*1.02</f>
        <v>4080</v>
      </c>
      <c r="G54" s="115">
        <f t="shared" si="4"/>
        <v>80</v>
      </c>
      <c r="H54" s="11">
        <f t="shared" si="6"/>
        <v>0.02</v>
      </c>
      <c r="I54" s="286"/>
      <c r="L54" s="250"/>
      <c r="M54" s="250"/>
      <c r="N54" s="250"/>
      <c r="O54" s="250"/>
      <c r="P54" s="250"/>
      <c r="Q54" s="266" t="s">
        <v>292</v>
      </c>
      <c r="R54" s="266"/>
      <c r="S54" s="267"/>
      <c r="T54" s="267"/>
      <c r="U54" s="267"/>
      <c r="V54" s="268"/>
    </row>
    <row r="55" spans="1:22" s="104" customFormat="1" ht="16.5" thickBot="1" x14ac:dyDescent="0.3">
      <c r="A55" s="53" t="s">
        <v>47</v>
      </c>
      <c r="B55" s="301">
        <v>69255</v>
      </c>
      <c r="C55" s="300">
        <v>0.41</v>
      </c>
      <c r="D55" s="154">
        <f>SUM(D37:D54)</f>
        <v>102803.09</v>
      </c>
      <c r="E55" s="154">
        <v>167664</v>
      </c>
      <c r="F55" s="155">
        <f>SUM(F37:F54)</f>
        <v>170048.28</v>
      </c>
      <c r="G55" s="322">
        <f t="shared" si="4"/>
        <v>2384.2799999999988</v>
      </c>
      <c r="H55" s="323">
        <f t="shared" si="6"/>
        <v>1.4220584025193236E-2</v>
      </c>
      <c r="I55" s="303"/>
      <c r="L55" s="304"/>
      <c r="M55" s="304"/>
      <c r="N55" s="304"/>
      <c r="O55" s="304"/>
      <c r="P55" s="304"/>
      <c r="Q55" s="305"/>
      <c r="R55" s="305" t="s">
        <v>293</v>
      </c>
      <c r="S55" s="310">
        <v>87</v>
      </c>
      <c r="T55" s="310">
        <v>360</v>
      </c>
      <c r="U55" s="310">
        <v>-273</v>
      </c>
      <c r="V55" s="311">
        <v>0.24167</v>
      </c>
    </row>
    <row r="56" spans="1:22" s="104" customFormat="1" ht="16.5" thickBot="1" x14ac:dyDescent="0.3">
      <c r="A56" s="324"/>
      <c r="B56" s="325" t="e">
        <v>#REF!</v>
      </c>
      <c r="C56" s="300"/>
      <c r="D56" s="326"/>
      <c r="E56" s="326"/>
      <c r="F56" s="326"/>
      <c r="G56" s="322"/>
      <c r="H56" s="327"/>
      <c r="I56" s="303"/>
      <c r="L56" s="304"/>
      <c r="M56" s="304"/>
      <c r="N56" s="304"/>
      <c r="O56" s="304"/>
      <c r="P56" s="304"/>
      <c r="Q56" s="305"/>
      <c r="R56" s="305" t="s">
        <v>294</v>
      </c>
      <c r="S56" s="310">
        <v>241</v>
      </c>
      <c r="T56" s="310">
        <v>1800</v>
      </c>
      <c r="U56" s="310">
        <v>-1559</v>
      </c>
      <c r="V56" s="311">
        <v>0.13389000000000001</v>
      </c>
    </row>
    <row r="57" spans="1:22" s="104" customFormat="1" ht="18" customHeight="1" thickBot="1" x14ac:dyDescent="0.3">
      <c r="A57" s="57" t="s">
        <v>391</v>
      </c>
      <c r="B57" s="301">
        <v>225000</v>
      </c>
      <c r="C57" s="300">
        <v>1</v>
      </c>
      <c r="D57" s="157">
        <f>E57</f>
        <v>225000</v>
      </c>
      <c r="E57" s="157">
        <v>225000</v>
      </c>
      <c r="F57" s="174">
        <f>15000000*0.02</f>
        <v>300000</v>
      </c>
      <c r="G57" s="322">
        <f>F57-E57</f>
        <v>75000</v>
      </c>
      <c r="H57" s="328">
        <f>G57/E57</f>
        <v>0.33333333333333331</v>
      </c>
      <c r="I57" s="285" t="s">
        <v>395</v>
      </c>
      <c r="J57" s="329"/>
      <c r="L57" s="304"/>
      <c r="M57" s="304"/>
      <c r="N57" s="304"/>
      <c r="O57" s="304"/>
      <c r="P57" s="304"/>
      <c r="Q57" s="305"/>
      <c r="R57" s="305" t="s">
        <v>295</v>
      </c>
      <c r="S57" s="310">
        <v>1030</v>
      </c>
      <c r="T57" s="310">
        <v>6480</v>
      </c>
      <c r="U57" s="310">
        <v>-5450</v>
      </c>
      <c r="V57" s="311">
        <v>0.15895000000000001</v>
      </c>
    </row>
    <row r="58" spans="1:22" s="104" customFormat="1" ht="16.5" thickBot="1" x14ac:dyDescent="0.3">
      <c r="A58" s="65"/>
      <c r="B58" s="301"/>
      <c r="C58" s="300"/>
      <c r="D58" s="158"/>
      <c r="E58" s="158"/>
      <c r="F58" s="158"/>
      <c r="G58" s="330"/>
      <c r="H58" s="323"/>
      <c r="I58" s="303"/>
      <c r="L58" s="304"/>
      <c r="M58" s="304"/>
      <c r="N58" s="304"/>
      <c r="O58" s="304"/>
      <c r="P58" s="304"/>
      <c r="Q58" s="305"/>
      <c r="R58" s="305" t="s">
        <v>296</v>
      </c>
      <c r="S58" s="310">
        <v>17</v>
      </c>
      <c r="T58" s="310">
        <v>120</v>
      </c>
      <c r="U58" s="310">
        <v>-103</v>
      </c>
      <c r="V58" s="311">
        <v>0.14166999999999999</v>
      </c>
    </row>
    <row r="59" spans="1:22" s="104" customFormat="1" ht="16.5" thickBot="1" x14ac:dyDescent="0.3">
      <c r="A59" s="63" t="s">
        <v>14</v>
      </c>
      <c r="B59" s="299">
        <v>610701</v>
      </c>
      <c r="C59" s="300">
        <v>0.9</v>
      </c>
      <c r="D59" s="160">
        <f>D33+D55+D57</f>
        <v>777999.34</v>
      </c>
      <c r="E59" s="160">
        <v>680734.5</v>
      </c>
      <c r="F59" s="161">
        <f>F33+F55+F57</f>
        <v>826100.19</v>
      </c>
      <c r="G59" s="301">
        <f>F59-E59</f>
        <v>145365.68999999994</v>
      </c>
      <c r="H59" s="302">
        <f>G59/E59</f>
        <v>0.21354241631649334</v>
      </c>
      <c r="I59" s="303"/>
      <c r="L59" s="304"/>
      <c r="M59" s="304"/>
      <c r="N59" s="304"/>
      <c r="O59" s="304"/>
      <c r="P59" s="304"/>
      <c r="Q59" s="305" t="s">
        <v>297</v>
      </c>
      <c r="R59" s="305"/>
      <c r="S59" s="306">
        <v>1375</v>
      </c>
      <c r="T59" s="306">
        <v>8760</v>
      </c>
      <c r="U59" s="306">
        <v>-7385</v>
      </c>
      <c r="V59" s="307">
        <v>0.15695999999999999</v>
      </c>
    </row>
    <row r="60" spans="1:22" s="104" customFormat="1" ht="16.5" thickBot="1" x14ac:dyDescent="0.3">
      <c r="A60" s="59" t="s">
        <v>64</v>
      </c>
      <c r="B60" s="308">
        <v>628405</v>
      </c>
      <c r="C60" s="300">
        <v>0.71</v>
      </c>
      <c r="D60" s="162">
        <f>D16</f>
        <v>1092632.2</v>
      </c>
      <c r="E60" s="162">
        <v>883887.2</v>
      </c>
      <c r="F60" s="163">
        <f>F16</f>
        <v>964248.38399999996</v>
      </c>
      <c r="G60" s="301">
        <f>F60-E60</f>
        <v>80361.184000000008</v>
      </c>
      <c r="H60" s="309">
        <f>G60/E60</f>
        <v>9.0917918032979786E-2</v>
      </c>
      <c r="I60" s="303"/>
      <c r="L60" s="304"/>
      <c r="M60" s="304"/>
      <c r="N60" s="304"/>
      <c r="O60" s="304"/>
      <c r="P60" s="304" t="s">
        <v>298</v>
      </c>
      <c r="Q60" s="305"/>
      <c r="R60" s="305"/>
      <c r="S60" s="310">
        <v>46932</v>
      </c>
      <c r="T60" s="310">
        <v>204000</v>
      </c>
      <c r="U60" s="310">
        <v>-157068</v>
      </c>
      <c r="V60" s="311">
        <v>0.23005999999999999</v>
      </c>
    </row>
    <row r="61" spans="1:22" s="104" customFormat="1" ht="16.5" thickBot="1" x14ac:dyDescent="0.3">
      <c r="A61" s="331"/>
      <c r="I61" s="303"/>
      <c r="L61" s="304"/>
      <c r="M61" s="304"/>
      <c r="N61" s="304"/>
      <c r="O61" s="304"/>
      <c r="P61" s="304" t="s">
        <v>299</v>
      </c>
      <c r="Q61" s="304"/>
      <c r="R61" s="304"/>
      <c r="S61" s="332"/>
      <c r="T61" s="332"/>
      <c r="U61" s="332"/>
      <c r="V61" s="333"/>
    </row>
    <row r="62" spans="1:22" s="104" customFormat="1" ht="16.5" thickBot="1" x14ac:dyDescent="0.3">
      <c r="A62" s="416" t="s">
        <v>344</v>
      </c>
      <c r="B62" s="301"/>
      <c r="C62" s="300"/>
      <c r="D62" s="116">
        <f>D60-D59</f>
        <v>314632.86</v>
      </c>
      <c r="E62" s="126">
        <v>203152.69999999995</v>
      </c>
      <c r="F62" s="174">
        <f>F60-F59</f>
        <v>138148.19400000002</v>
      </c>
      <c r="G62" s="301">
        <f>F62-E62</f>
        <v>-65004.505999999936</v>
      </c>
      <c r="H62" s="309"/>
      <c r="I62" s="303"/>
      <c r="L62" s="304"/>
      <c r="M62" s="304"/>
      <c r="N62" s="304"/>
      <c r="O62" s="304"/>
      <c r="P62" s="304"/>
      <c r="Q62" s="304" t="s">
        <v>300</v>
      </c>
      <c r="R62" s="304"/>
      <c r="S62" s="332">
        <v>7530</v>
      </c>
      <c r="T62" s="332">
        <v>6500</v>
      </c>
      <c r="U62" s="332">
        <v>1030</v>
      </c>
      <c r="V62" s="333">
        <v>1.15846</v>
      </c>
    </row>
    <row r="63" spans="1:22" s="104" customFormat="1" ht="16.5" thickBot="1" x14ac:dyDescent="0.3">
      <c r="A63" s="334" t="s">
        <v>59</v>
      </c>
      <c r="B63" s="335">
        <v>17704</v>
      </c>
      <c r="C63" s="336">
        <v>0.09</v>
      </c>
      <c r="D63" s="164">
        <f>D60-D62-D59</f>
        <v>0</v>
      </c>
      <c r="E63" s="164">
        <f>E60-E62-E59</f>
        <v>0</v>
      </c>
      <c r="F63" s="164">
        <f>F60-F62-F59</f>
        <v>0</v>
      </c>
      <c r="G63" s="337">
        <f>F63-E63</f>
        <v>0</v>
      </c>
      <c r="H63" s="323"/>
      <c r="I63" s="338" t="s">
        <v>389</v>
      </c>
      <c r="L63" s="304"/>
      <c r="M63" s="304"/>
      <c r="N63" s="304"/>
      <c r="O63" s="304"/>
      <c r="P63" s="304"/>
      <c r="Q63" s="304"/>
      <c r="R63" s="304"/>
      <c r="S63" s="332"/>
      <c r="T63" s="332"/>
      <c r="U63" s="332"/>
      <c r="V63" s="333"/>
    </row>
    <row r="64" spans="1:22" ht="13.5" thickBot="1" x14ac:dyDescent="0.25"/>
    <row r="65" spans="1:22" ht="18" x14ac:dyDescent="0.25">
      <c r="A65" s="292" t="s">
        <v>32</v>
      </c>
      <c r="B65" s="293"/>
      <c r="C65" s="293"/>
      <c r="D65" s="293"/>
      <c r="E65" s="293"/>
      <c r="F65" s="293"/>
      <c r="G65" s="293"/>
      <c r="H65" s="293"/>
      <c r="I65" s="294"/>
      <c r="L65" s="250"/>
      <c r="M65" s="250"/>
      <c r="N65" s="250"/>
      <c r="O65" s="250"/>
      <c r="P65" s="250"/>
      <c r="Q65" s="250"/>
      <c r="R65" s="250"/>
      <c r="S65" s="251"/>
      <c r="T65" s="251"/>
      <c r="U65" s="251"/>
      <c r="V65" s="252"/>
    </row>
    <row r="66" spans="1:22" ht="23.25" x14ac:dyDescent="0.35">
      <c r="A66" s="246" t="s">
        <v>338</v>
      </c>
      <c r="B66" s="247"/>
      <c r="C66" s="247"/>
      <c r="D66" s="247"/>
      <c r="E66" s="247"/>
      <c r="F66" s="247"/>
      <c r="G66" s="247"/>
      <c r="H66" s="247"/>
      <c r="I66" s="295"/>
      <c r="L66" s="250"/>
      <c r="M66" s="250"/>
      <c r="N66" s="250"/>
      <c r="O66" s="250"/>
      <c r="P66" s="250"/>
      <c r="Q66" s="250"/>
      <c r="R66" s="250"/>
      <c r="S66" s="251"/>
      <c r="T66" s="251"/>
      <c r="U66" s="251"/>
      <c r="V66" s="252"/>
    </row>
    <row r="67" spans="1:22" ht="14.25" customHeight="1" x14ac:dyDescent="0.35">
      <c r="A67" s="246"/>
      <c r="B67" s="247"/>
      <c r="C67" s="247"/>
      <c r="D67" s="247"/>
      <c r="E67" s="247"/>
      <c r="F67" s="247"/>
      <c r="G67" s="247"/>
      <c r="H67" s="247"/>
      <c r="I67" s="285"/>
      <c r="L67" s="250"/>
      <c r="M67" s="250"/>
      <c r="N67" s="250"/>
      <c r="O67" s="250"/>
      <c r="P67" s="250"/>
      <c r="Q67" s="250"/>
      <c r="R67" s="250"/>
      <c r="S67" s="251"/>
      <c r="T67" s="251"/>
      <c r="U67" s="251"/>
      <c r="V67" s="252"/>
    </row>
    <row r="68" spans="1:22" ht="30" customHeight="1" x14ac:dyDescent="0.35">
      <c r="A68" s="277" t="s">
        <v>341</v>
      </c>
      <c r="B68" s="115"/>
      <c r="C68" s="271"/>
      <c r="D68" s="212" t="s">
        <v>77</v>
      </c>
      <c r="E68" s="108" t="s">
        <v>12</v>
      </c>
      <c r="F68" s="272" t="s">
        <v>343</v>
      </c>
      <c r="G68" s="247"/>
      <c r="H68" s="247"/>
      <c r="I68" s="285"/>
      <c r="L68" s="250"/>
      <c r="M68" s="250"/>
      <c r="N68" s="250"/>
      <c r="O68" s="250"/>
      <c r="P68" s="250"/>
      <c r="Q68" s="250"/>
      <c r="R68" s="250"/>
      <c r="S68" s="251"/>
      <c r="T68" s="251"/>
      <c r="U68" s="251"/>
      <c r="V68" s="252"/>
    </row>
    <row r="69" spans="1:22" ht="14.25" customHeight="1" x14ac:dyDescent="0.35">
      <c r="A69" s="222" t="s">
        <v>26</v>
      </c>
      <c r="B69" s="10"/>
      <c r="C69" s="10"/>
      <c r="D69" s="280" t="s">
        <v>93</v>
      </c>
      <c r="E69" s="280" t="s">
        <v>93</v>
      </c>
      <c r="F69" s="281" t="s">
        <v>244</v>
      </c>
      <c r="G69" s="247"/>
      <c r="H69" s="247"/>
      <c r="I69" s="285"/>
      <c r="L69" s="250"/>
      <c r="M69" s="250"/>
      <c r="N69" s="250"/>
      <c r="O69" s="250"/>
      <c r="P69" s="250"/>
      <c r="Q69" s="250"/>
      <c r="R69" s="250"/>
      <c r="S69" s="251"/>
      <c r="T69" s="251"/>
      <c r="U69" s="251"/>
      <c r="V69" s="252"/>
    </row>
    <row r="70" spans="1:22" ht="14.25" customHeight="1" x14ac:dyDescent="0.35">
      <c r="A70" s="109" t="s">
        <v>375</v>
      </c>
      <c r="B70" s="247"/>
      <c r="C70" s="247"/>
      <c r="D70" s="125">
        <v>200000</v>
      </c>
      <c r="E70" s="125">
        <v>200000</v>
      </c>
      <c r="F70" s="133">
        <v>1100000</v>
      </c>
      <c r="H70" s="247"/>
      <c r="I70" s="339" t="s">
        <v>401</v>
      </c>
      <c r="L70" s="250"/>
      <c r="M70" s="250"/>
      <c r="N70" s="250"/>
      <c r="O70" s="250"/>
      <c r="P70" s="250"/>
      <c r="Q70" s="250"/>
      <c r="R70" s="250"/>
      <c r="S70" s="251"/>
      <c r="T70" s="251"/>
      <c r="U70" s="251"/>
      <c r="V70" s="252"/>
    </row>
    <row r="71" spans="1:22" ht="14.25" customHeight="1" x14ac:dyDescent="0.35">
      <c r="A71" s="109" t="s">
        <v>398</v>
      </c>
      <c r="B71" s="247"/>
      <c r="C71" s="247"/>
      <c r="D71" s="125">
        <v>0</v>
      </c>
      <c r="E71" s="125">
        <v>0</v>
      </c>
      <c r="F71" s="133"/>
      <c r="H71" s="247"/>
      <c r="I71" s="339" t="s">
        <v>410</v>
      </c>
      <c r="L71" s="250"/>
      <c r="M71" s="250"/>
      <c r="N71" s="250"/>
      <c r="O71" s="250"/>
      <c r="P71" s="250"/>
      <c r="Q71" s="250"/>
      <c r="R71" s="250"/>
      <c r="S71" s="251"/>
      <c r="T71" s="251"/>
      <c r="U71" s="251"/>
      <c r="V71" s="252"/>
    </row>
    <row r="72" spans="1:22" ht="14.25" customHeight="1" x14ac:dyDescent="0.35">
      <c r="A72" s="109" t="s">
        <v>380</v>
      </c>
      <c r="B72" s="247"/>
      <c r="C72" s="247"/>
      <c r="D72" s="125">
        <v>0</v>
      </c>
      <c r="E72" s="125">
        <v>0</v>
      </c>
      <c r="F72" s="133">
        <v>100000</v>
      </c>
      <c r="H72" s="247"/>
      <c r="I72" s="339" t="s">
        <v>399</v>
      </c>
      <c r="L72" s="250"/>
      <c r="M72" s="250"/>
      <c r="N72" s="250"/>
      <c r="O72" s="250"/>
      <c r="P72" s="250"/>
      <c r="Q72" s="250"/>
      <c r="R72" s="250"/>
      <c r="S72" s="251"/>
      <c r="T72" s="251"/>
      <c r="U72" s="251"/>
      <c r="V72" s="252"/>
    </row>
    <row r="73" spans="1:22" ht="14.25" customHeight="1" x14ac:dyDescent="0.35">
      <c r="A73" s="109" t="s">
        <v>381</v>
      </c>
      <c r="B73" s="247"/>
      <c r="C73" s="247"/>
      <c r="D73" s="125">
        <v>170000</v>
      </c>
      <c r="E73" s="125">
        <v>293200</v>
      </c>
      <c r="F73" s="133">
        <f>50*5685.2</f>
        <v>284260</v>
      </c>
      <c r="G73" s="150" t="s">
        <v>428</v>
      </c>
      <c r="H73" s="247"/>
      <c r="I73" s="339">
        <v>50</v>
      </c>
      <c r="L73" s="250"/>
      <c r="M73" s="250"/>
      <c r="N73" s="250"/>
      <c r="O73" s="250"/>
      <c r="P73" s="250"/>
      <c r="Q73" s="250"/>
      <c r="R73" s="250"/>
      <c r="S73" s="251"/>
      <c r="T73" s="251"/>
      <c r="U73" s="251"/>
      <c r="V73" s="252"/>
    </row>
    <row r="74" spans="1:22" ht="14.25" customHeight="1" x14ac:dyDescent="0.35">
      <c r="A74" s="109" t="s">
        <v>396</v>
      </c>
      <c r="B74" s="247"/>
      <c r="C74" s="247"/>
      <c r="D74" s="125">
        <v>0</v>
      </c>
      <c r="E74" s="125">
        <v>0</v>
      </c>
      <c r="F74" s="133"/>
      <c r="H74" s="247"/>
      <c r="I74" s="415" t="s">
        <v>400</v>
      </c>
      <c r="L74" s="250"/>
      <c r="M74" s="250"/>
      <c r="N74" s="250"/>
      <c r="O74" s="250"/>
      <c r="P74" s="250"/>
      <c r="Q74" s="250"/>
      <c r="R74" s="250"/>
      <c r="S74" s="251"/>
      <c r="T74" s="251"/>
      <c r="U74" s="251"/>
      <c r="V74" s="252"/>
    </row>
    <row r="75" spans="1:22" ht="14.25" customHeight="1" x14ac:dyDescent="0.25">
      <c r="A75" s="225" t="s">
        <v>407</v>
      </c>
      <c r="B75" s="196">
        <f>SUM(B68:B74)</f>
        <v>0</v>
      </c>
      <c r="C75" s="271">
        <f>B75/E75</f>
        <v>0</v>
      </c>
      <c r="D75" s="197">
        <f>SUM(D68:D74)</f>
        <v>370000</v>
      </c>
      <c r="E75" s="197">
        <f>SUM(E70:E74)</f>
        <v>493200</v>
      </c>
      <c r="F75" s="198">
        <f>SUM(F70:F74)</f>
        <v>1484260</v>
      </c>
      <c r="G75" s="199">
        <f>SUM(G68:G74)</f>
        <v>0</v>
      </c>
      <c r="H75" s="200">
        <f>G75/E75</f>
        <v>0</v>
      </c>
      <c r="I75" s="285"/>
      <c r="L75" s="250"/>
      <c r="M75" s="250"/>
      <c r="N75" s="250"/>
      <c r="O75" s="250"/>
      <c r="P75" s="250" t="s">
        <v>259</v>
      </c>
      <c r="Q75" s="250"/>
      <c r="R75" s="250"/>
      <c r="S75" s="251">
        <v>1560</v>
      </c>
      <c r="T75" s="251">
        <v>3300</v>
      </c>
      <c r="U75" s="251">
        <v>-1740</v>
      </c>
      <c r="V75" s="252">
        <v>0.47272999999999998</v>
      </c>
    </row>
    <row r="76" spans="1:22" ht="14.25" customHeight="1" x14ac:dyDescent="0.35">
      <c r="A76" s="246"/>
      <c r="B76" s="247"/>
      <c r="C76" s="247"/>
      <c r="D76" s="247"/>
      <c r="E76" s="247"/>
      <c r="F76" s="247"/>
      <c r="G76" s="247"/>
      <c r="H76" s="247"/>
      <c r="I76" s="285"/>
      <c r="L76" s="250"/>
      <c r="M76" s="250"/>
      <c r="N76" s="250"/>
      <c r="O76" s="250"/>
      <c r="P76" s="250"/>
      <c r="Q76" s="250"/>
      <c r="R76" s="250"/>
      <c r="S76" s="251"/>
      <c r="T76" s="251"/>
      <c r="U76" s="251"/>
      <c r="V76" s="252"/>
    </row>
    <row r="77" spans="1:22" ht="10.5" customHeight="1" thickBot="1" x14ac:dyDescent="0.4">
      <c r="A77" s="246" t="s">
        <v>330</v>
      </c>
      <c r="B77" s="247" t="s">
        <v>377</v>
      </c>
      <c r="C77" s="271" t="s">
        <v>376</v>
      </c>
      <c r="D77" s="247" t="s">
        <v>330</v>
      </c>
      <c r="E77" s="247"/>
      <c r="F77" s="247"/>
      <c r="G77" s="247"/>
      <c r="H77" s="247"/>
      <c r="I77" s="285"/>
      <c r="L77" s="250"/>
      <c r="M77" s="250"/>
      <c r="N77" s="250"/>
      <c r="O77" s="250"/>
      <c r="P77" s="250"/>
      <c r="Q77" s="250"/>
      <c r="R77" s="250"/>
      <c r="S77" s="251"/>
      <c r="T77" s="251"/>
      <c r="U77" s="251"/>
      <c r="V77" s="252"/>
    </row>
    <row r="78" spans="1:22" ht="16.5" thickBot="1" x14ac:dyDescent="0.3">
      <c r="A78" s="45" t="s">
        <v>55</v>
      </c>
      <c r="B78" s="115"/>
      <c r="C78" s="271"/>
      <c r="D78" s="152">
        <f>D73</f>
        <v>170000</v>
      </c>
      <c r="E78" s="152" t="s">
        <v>93</v>
      </c>
      <c r="F78" s="169">
        <v>2022</v>
      </c>
      <c r="G78" s="168"/>
      <c r="H78" s="288"/>
      <c r="I78" s="289" t="s">
        <v>382</v>
      </c>
      <c r="L78" s="250"/>
      <c r="M78" s="250"/>
      <c r="N78" s="250"/>
      <c r="O78" s="250" t="s">
        <v>261</v>
      </c>
      <c r="P78" s="250"/>
      <c r="Q78" s="250"/>
      <c r="R78" s="250"/>
      <c r="S78" s="251">
        <v>9705</v>
      </c>
      <c r="T78" s="251">
        <v>64459</v>
      </c>
      <c r="U78" s="251">
        <v>-54754</v>
      </c>
      <c r="V78" s="252">
        <v>0.15056</v>
      </c>
    </row>
    <row r="79" spans="1:22" x14ac:dyDescent="0.2">
      <c r="A79" s="219"/>
      <c r="D79" s="533" t="s">
        <v>378</v>
      </c>
      <c r="F79" s="110" t="s">
        <v>374</v>
      </c>
      <c r="G79" s="110"/>
      <c r="H79" s="288" t="s">
        <v>376</v>
      </c>
      <c r="I79" s="289"/>
      <c r="K79" s="2" t="s">
        <v>423</v>
      </c>
      <c r="L79" s="250"/>
      <c r="M79" s="250"/>
      <c r="N79" s="250"/>
      <c r="O79" s="250"/>
      <c r="P79" s="250"/>
      <c r="Q79" s="250" t="s">
        <v>310</v>
      </c>
      <c r="R79" s="250"/>
      <c r="S79" s="251">
        <v>6</v>
      </c>
      <c r="T79" s="251">
        <v>3000</v>
      </c>
      <c r="U79" s="251">
        <v>-2994</v>
      </c>
      <c r="V79" s="252">
        <v>2E-3</v>
      </c>
    </row>
    <row r="80" spans="1:22" x14ac:dyDescent="0.2">
      <c r="A80" s="274" t="s">
        <v>353</v>
      </c>
      <c r="B80" s="275">
        <v>24000</v>
      </c>
      <c r="C80" s="271">
        <v>0</v>
      </c>
      <c r="D80" s="534">
        <v>24000</v>
      </c>
      <c r="E80" s="417">
        <v>0</v>
      </c>
      <c r="F80" s="110"/>
      <c r="G80" s="110"/>
      <c r="H80" s="290">
        <v>1</v>
      </c>
      <c r="I80" s="291">
        <f t="shared" ref="I80:I85" si="7">E80</f>
        <v>0</v>
      </c>
      <c r="K80">
        <v>97853</v>
      </c>
      <c r="L80" s="250"/>
      <c r="M80" s="250"/>
      <c r="N80" s="250"/>
      <c r="O80" s="250"/>
      <c r="P80" s="250"/>
      <c r="Q80" s="250"/>
      <c r="R80" s="250"/>
      <c r="S80" s="251"/>
      <c r="T80" s="251"/>
      <c r="U80" s="251"/>
      <c r="V80" s="252"/>
    </row>
    <row r="81" spans="1:22" x14ac:dyDescent="0.2">
      <c r="A81" s="274" t="s">
        <v>354</v>
      </c>
      <c r="B81" s="275">
        <v>55000</v>
      </c>
      <c r="C81" s="271">
        <v>0</v>
      </c>
      <c r="D81" s="534">
        <v>55000</v>
      </c>
      <c r="E81" s="417">
        <v>55000</v>
      </c>
      <c r="F81" s="110"/>
      <c r="G81" s="110"/>
      <c r="H81" s="290">
        <v>1</v>
      </c>
      <c r="I81" s="291">
        <f t="shared" si="7"/>
        <v>55000</v>
      </c>
      <c r="K81" s="106">
        <f>K80-SUM(E80:E85)</f>
        <v>0</v>
      </c>
      <c r="L81" s="250"/>
      <c r="M81" s="250"/>
      <c r="N81" s="250"/>
      <c r="O81" s="250"/>
      <c r="P81" s="250"/>
      <c r="Q81" s="250"/>
      <c r="R81" s="250"/>
      <c r="S81" s="251"/>
      <c r="T81" s="251"/>
      <c r="U81" s="251"/>
      <c r="V81" s="252"/>
    </row>
    <row r="82" spans="1:22" x14ac:dyDescent="0.2">
      <c r="A82" s="274" t="s">
        <v>355</v>
      </c>
      <c r="B82" s="275">
        <v>10800</v>
      </c>
      <c r="C82" s="271">
        <v>0</v>
      </c>
      <c r="D82" s="534">
        <v>10800</v>
      </c>
      <c r="E82" s="417">
        <v>0</v>
      </c>
      <c r="F82" s="110"/>
      <c r="G82" s="110"/>
      <c r="H82" s="290">
        <v>1</v>
      </c>
      <c r="I82" s="291">
        <f t="shared" si="7"/>
        <v>0</v>
      </c>
      <c r="L82" s="250"/>
      <c r="M82" s="250"/>
      <c r="N82" s="250"/>
      <c r="O82" s="250"/>
      <c r="P82" s="250"/>
      <c r="Q82" s="250"/>
      <c r="R82" s="250"/>
      <c r="S82" s="251"/>
      <c r="T82" s="251"/>
      <c r="U82" s="251"/>
      <c r="V82" s="252"/>
    </row>
    <row r="83" spans="1:22" x14ac:dyDescent="0.2">
      <c r="A83" s="274" t="s">
        <v>356</v>
      </c>
      <c r="B83" s="275">
        <v>7800</v>
      </c>
      <c r="C83" s="271">
        <v>0</v>
      </c>
      <c r="D83" s="534">
        <v>7800</v>
      </c>
      <c r="E83" s="417">
        <v>453</v>
      </c>
      <c r="F83" s="110"/>
      <c r="G83" s="110"/>
      <c r="H83" s="290">
        <v>1</v>
      </c>
      <c r="I83" s="291">
        <f t="shared" si="7"/>
        <v>453</v>
      </c>
      <c r="L83" s="250"/>
      <c r="M83" s="250"/>
      <c r="N83" s="250"/>
      <c r="O83" s="250"/>
      <c r="P83" s="250"/>
      <c r="Q83" s="250"/>
      <c r="R83" s="250"/>
      <c r="S83" s="251"/>
      <c r="T83" s="251"/>
      <c r="U83" s="251"/>
      <c r="V83" s="252"/>
    </row>
    <row r="84" spans="1:22" x14ac:dyDescent="0.2">
      <c r="A84" s="274" t="s">
        <v>357</v>
      </c>
      <c r="B84" s="275">
        <v>40000</v>
      </c>
      <c r="C84" s="271">
        <v>0</v>
      </c>
      <c r="D84" s="534">
        <v>40000</v>
      </c>
      <c r="E84" s="417">
        <v>40000</v>
      </c>
      <c r="F84" s="110"/>
      <c r="G84" s="110"/>
      <c r="H84" s="290">
        <v>1</v>
      </c>
      <c r="I84" s="291">
        <f t="shared" si="7"/>
        <v>40000</v>
      </c>
      <c r="L84" s="250"/>
      <c r="M84" s="250"/>
      <c r="N84" s="250"/>
      <c r="O84" s="250"/>
      <c r="P84" s="250"/>
      <c r="Q84" s="250"/>
      <c r="R84" s="250"/>
      <c r="S84" s="251"/>
      <c r="T84" s="251"/>
      <c r="U84" s="251"/>
      <c r="V84" s="252"/>
    </row>
    <row r="85" spans="1:22" x14ac:dyDescent="0.2">
      <c r="A85" s="274" t="s">
        <v>358</v>
      </c>
      <c r="B85" s="275">
        <v>2400</v>
      </c>
      <c r="C85" s="271">
        <v>0</v>
      </c>
      <c r="D85" s="534">
        <v>2400</v>
      </c>
      <c r="E85" s="417">
        <v>2400</v>
      </c>
      <c r="F85" s="110"/>
      <c r="G85" s="110"/>
      <c r="H85" s="290">
        <v>1</v>
      </c>
      <c r="I85" s="291">
        <f t="shared" si="7"/>
        <v>2400</v>
      </c>
      <c r="L85" s="250"/>
      <c r="M85" s="250"/>
      <c r="N85" s="250"/>
      <c r="O85" s="250"/>
      <c r="P85" s="250"/>
      <c r="Q85" s="250"/>
      <c r="R85" s="250"/>
      <c r="S85" s="251"/>
      <c r="T85" s="251"/>
      <c r="U85" s="251"/>
      <c r="V85" s="252"/>
    </row>
    <row r="86" spans="1:22" x14ac:dyDescent="0.2">
      <c r="A86" s="41" t="s">
        <v>359</v>
      </c>
      <c r="B86" s="276">
        <v>906000</v>
      </c>
      <c r="C86" s="271">
        <v>0.75</v>
      </c>
      <c r="D86" s="121">
        <f>B86-F86</f>
        <v>226500</v>
      </c>
      <c r="E86" s="121">
        <f>D86</f>
        <v>226500</v>
      </c>
      <c r="F86" s="133">
        <f t="shared" ref="F86:F105" si="8">C86*B86</f>
        <v>679500</v>
      </c>
      <c r="H86" s="290">
        <v>1</v>
      </c>
      <c r="I86" s="291">
        <f t="shared" ref="I86:I105" si="9">H86*F86</f>
        <v>679500</v>
      </c>
      <c r="L86" s="250" t="s">
        <v>203</v>
      </c>
      <c r="M86" s="250"/>
      <c r="N86" s="250"/>
      <c r="O86" s="250"/>
      <c r="P86" s="250"/>
      <c r="Q86" s="250"/>
      <c r="R86" s="250"/>
      <c r="S86" s="251"/>
      <c r="T86" s="251"/>
      <c r="U86" s="251"/>
      <c r="V86" s="252"/>
    </row>
    <row r="87" spans="1:22" x14ac:dyDescent="0.2">
      <c r="A87" s="39" t="s">
        <v>360</v>
      </c>
      <c r="B87" s="276">
        <v>50000</v>
      </c>
      <c r="C87" s="271">
        <v>1</v>
      </c>
      <c r="D87" s="121">
        <f t="shared" ref="D87:D105" si="10">B87-F87</f>
        <v>0</v>
      </c>
      <c r="E87" s="121">
        <f t="shared" ref="E87:E105" si="11">D87</f>
        <v>0</v>
      </c>
      <c r="F87" s="133">
        <f t="shared" si="8"/>
        <v>50000</v>
      </c>
      <c r="H87" s="290">
        <v>1</v>
      </c>
      <c r="I87" s="291">
        <f t="shared" si="9"/>
        <v>50000</v>
      </c>
      <c r="L87" s="250"/>
      <c r="M87" s="250" t="s">
        <v>61</v>
      </c>
      <c r="N87" s="250"/>
      <c r="O87" s="250"/>
      <c r="P87" s="250"/>
      <c r="Q87" s="250"/>
      <c r="R87" s="250"/>
      <c r="S87" s="251"/>
      <c r="T87" s="251"/>
      <c r="U87" s="251"/>
      <c r="V87" s="252"/>
    </row>
    <row r="88" spans="1:22" x14ac:dyDescent="0.2">
      <c r="A88" s="39" t="s">
        <v>361</v>
      </c>
      <c r="B88" s="276">
        <v>7500</v>
      </c>
      <c r="C88" s="271">
        <v>1</v>
      </c>
      <c r="D88" s="121">
        <f t="shared" si="10"/>
        <v>0</v>
      </c>
      <c r="E88" s="121">
        <f t="shared" si="11"/>
        <v>0</v>
      </c>
      <c r="F88" s="133">
        <f t="shared" si="8"/>
        <v>7500</v>
      </c>
      <c r="H88" s="290">
        <v>1</v>
      </c>
      <c r="I88" s="291">
        <f t="shared" si="9"/>
        <v>7500</v>
      </c>
      <c r="L88" s="250"/>
      <c r="M88" s="250"/>
      <c r="N88" s="250" t="s">
        <v>57</v>
      </c>
      <c r="O88" s="250"/>
      <c r="P88" s="250"/>
      <c r="Q88" s="250"/>
      <c r="R88" s="250"/>
      <c r="S88" s="251"/>
      <c r="T88" s="251"/>
      <c r="U88" s="251"/>
      <c r="V88" s="252"/>
    </row>
    <row r="89" spans="1:22" x14ac:dyDescent="0.2">
      <c r="A89" s="39" t="s">
        <v>416</v>
      </c>
      <c r="B89" s="276">
        <v>100000</v>
      </c>
      <c r="C89" s="271">
        <v>1</v>
      </c>
      <c r="D89" s="121">
        <f t="shared" si="10"/>
        <v>0</v>
      </c>
      <c r="E89" s="121">
        <f t="shared" si="11"/>
        <v>0</v>
      </c>
      <c r="F89" s="133">
        <f t="shared" si="8"/>
        <v>100000</v>
      </c>
      <c r="H89" s="290">
        <v>1</v>
      </c>
      <c r="I89" s="291">
        <f t="shared" si="9"/>
        <v>100000</v>
      </c>
      <c r="L89" s="250"/>
      <c r="M89" s="250"/>
      <c r="N89" s="250"/>
      <c r="O89" s="250" t="s">
        <v>311</v>
      </c>
      <c r="P89" s="250"/>
      <c r="Q89" s="250"/>
      <c r="R89" s="250"/>
      <c r="S89" s="251"/>
      <c r="T89" s="251"/>
      <c r="U89" s="251"/>
      <c r="V89" s="252"/>
    </row>
    <row r="90" spans="1:22" x14ac:dyDescent="0.2">
      <c r="A90" s="41" t="s">
        <v>362</v>
      </c>
      <c r="B90" s="276">
        <v>450450</v>
      </c>
      <c r="C90" s="271">
        <v>0.5</v>
      </c>
      <c r="D90" s="121">
        <f t="shared" si="10"/>
        <v>225225</v>
      </c>
      <c r="E90" s="121">
        <f t="shared" si="11"/>
        <v>225225</v>
      </c>
      <c r="F90" s="133">
        <f t="shared" si="8"/>
        <v>225225</v>
      </c>
      <c r="H90" s="290">
        <v>1</v>
      </c>
      <c r="I90" s="291">
        <f t="shared" si="9"/>
        <v>225225</v>
      </c>
      <c r="L90" s="250"/>
      <c r="M90" s="250"/>
      <c r="N90" s="250"/>
      <c r="O90" s="250"/>
      <c r="P90" s="250" t="s">
        <v>312</v>
      </c>
      <c r="Q90" s="250"/>
      <c r="R90" s="250"/>
      <c r="S90" s="251">
        <v>119</v>
      </c>
      <c r="T90" s="251">
        <v>26</v>
      </c>
      <c r="U90" s="251">
        <v>93</v>
      </c>
      <c r="V90" s="252">
        <v>4.5769200000000003</v>
      </c>
    </row>
    <row r="91" spans="1:22" x14ac:dyDescent="0.2">
      <c r="A91" s="41" t="s">
        <v>363</v>
      </c>
      <c r="B91" s="276">
        <v>2500</v>
      </c>
      <c r="C91" s="271">
        <v>1</v>
      </c>
      <c r="D91" s="121">
        <f t="shared" si="10"/>
        <v>0</v>
      </c>
      <c r="E91" s="121">
        <f t="shared" si="11"/>
        <v>0</v>
      </c>
      <c r="F91" s="133">
        <f t="shared" si="8"/>
        <v>2500</v>
      </c>
      <c r="H91" s="290">
        <v>1</v>
      </c>
      <c r="I91" s="291">
        <f t="shared" si="9"/>
        <v>2500</v>
      </c>
      <c r="L91" s="250"/>
      <c r="M91" s="250"/>
      <c r="N91" s="250"/>
      <c r="O91" s="250"/>
      <c r="P91" s="250" t="s">
        <v>313</v>
      </c>
      <c r="Q91" s="250"/>
      <c r="R91" s="250"/>
      <c r="S91" s="251">
        <v>0</v>
      </c>
      <c r="T91" s="251">
        <v>24</v>
      </c>
      <c r="U91" s="251">
        <v>-24</v>
      </c>
      <c r="V91" s="252">
        <v>0</v>
      </c>
    </row>
    <row r="92" spans="1:22" ht="13.5" thickBot="1" x14ac:dyDescent="0.25">
      <c r="A92" s="41" t="s">
        <v>364</v>
      </c>
      <c r="B92" s="276">
        <v>124795</v>
      </c>
      <c r="C92" s="271">
        <v>1</v>
      </c>
      <c r="D92" s="121">
        <f t="shared" si="10"/>
        <v>0</v>
      </c>
      <c r="E92" s="121">
        <f t="shared" si="11"/>
        <v>0</v>
      </c>
      <c r="F92" s="133">
        <f t="shared" si="8"/>
        <v>124795</v>
      </c>
      <c r="H92" s="290">
        <v>1</v>
      </c>
      <c r="I92" s="291">
        <f t="shared" si="9"/>
        <v>124795</v>
      </c>
      <c r="L92" s="250"/>
      <c r="M92" s="250"/>
      <c r="N92" s="250"/>
      <c r="O92" s="250"/>
      <c r="P92" s="250" t="s">
        <v>314</v>
      </c>
      <c r="Q92" s="250"/>
      <c r="R92" s="250"/>
      <c r="S92" s="253">
        <v>20</v>
      </c>
      <c r="T92" s="253">
        <v>0</v>
      </c>
      <c r="U92" s="253">
        <v>20</v>
      </c>
      <c r="V92" s="254">
        <v>1</v>
      </c>
    </row>
    <row r="93" spans="1:22" x14ac:dyDescent="0.2">
      <c r="A93" s="39" t="s">
        <v>365</v>
      </c>
      <c r="B93" s="276">
        <v>750750</v>
      </c>
      <c r="C93" s="271">
        <v>1</v>
      </c>
      <c r="D93" s="121">
        <f t="shared" si="10"/>
        <v>0</v>
      </c>
      <c r="E93" s="121">
        <f t="shared" si="11"/>
        <v>0</v>
      </c>
      <c r="F93" s="133">
        <f t="shared" si="8"/>
        <v>750750</v>
      </c>
      <c r="H93" s="290">
        <v>1</v>
      </c>
      <c r="I93" s="291">
        <f t="shared" si="9"/>
        <v>750750</v>
      </c>
      <c r="L93" s="250"/>
      <c r="M93" s="250"/>
      <c r="N93" s="250"/>
      <c r="O93" s="250" t="s">
        <v>315</v>
      </c>
      <c r="P93" s="250"/>
      <c r="Q93" s="250"/>
      <c r="R93" s="250"/>
      <c r="S93" s="251">
        <v>139</v>
      </c>
      <c r="T93" s="251">
        <v>50</v>
      </c>
      <c r="U93" s="251">
        <v>89</v>
      </c>
      <c r="V93" s="252">
        <v>2.78</v>
      </c>
    </row>
    <row r="94" spans="1:22" ht="13.5" thickBot="1" x14ac:dyDescent="0.25">
      <c r="A94" s="41" t="s">
        <v>366</v>
      </c>
      <c r="B94" s="276">
        <v>8694000</v>
      </c>
      <c r="C94" s="271">
        <v>0.3</v>
      </c>
      <c r="D94" s="121"/>
      <c r="E94" s="121"/>
      <c r="F94" s="133">
        <f t="shared" si="8"/>
        <v>2608200</v>
      </c>
      <c r="H94" s="290">
        <v>1</v>
      </c>
      <c r="I94" s="291">
        <f t="shared" si="9"/>
        <v>2608200</v>
      </c>
      <c r="L94" s="250"/>
      <c r="M94" s="250"/>
      <c r="N94" s="250"/>
      <c r="O94" s="250" t="s">
        <v>316</v>
      </c>
      <c r="P94" s="250"/>
      <c r="Q94" s="250"/>
      <c r="R94" s="250"/>
      <c r="S94" s="251">
        <v>135231</v>
      </c>
      <c r="T94" s="251">
        <v>293200</v>
      </c>
      <c r="U94" s="251">
        <v>-157969</v>
      </c>
      <c r="V94" s="252">
        <v>0.46122000000000002</v>
      </c>
    </row>
    <row r="95" spans="1:22" ht="13.5" thickBot="1" x14ac:dyDescent="0.25">
      <c r="A95" s="39" t="s">
        <v>367</v>
      </c>
      <c r="B95" s="276">
        <v>936000</v>
      </c>
      <c r="C95" s="271">
        <v>0.3</v>
      </c>
      <c r="D95" s="121"/>
      <c r="E95" s="121"/>
      <c r="F95" s="133">
        <f t="shared" si="8"/>
        <v>280800</v>
      </c>
      <c r="H95" s="290">
        <v>1</v>
      </c>
      <c r="I95" s="291">
        <f t="shared" si="9"/>
        <v>280800</v>
      </c>
      <c r="L95" s="250"/>
      <c r="M95" s="250"/>
      <c r="N95" s="250" t="s">
        <v>317</v>
      </c>
      <c r="O95" s="250"/>
      <c r="P95" s="250"/>
      <c r="Q95" s="250"/>
      <c r="R95" s="250"/>
      <c r="S95" s="257">
        <v>135370</v>
      </c>
      <c r="T95" s="257">
        <v>293250</v>
      </c>
      <c r="U95" s="257">
        <v>-157880</v>
      </c>
      <c r="V95" s="258">
        <v>0.46161999999999997</v>
      </c>
    </row>
    <row r="96" spans="1:22" x14ac:dyDescent="0.2">
      <c r="A96" s="39" t="s">
        <v>368</v>
      </c>
      <c r="B96" s="276">
        <v>1501500</v>
      </c>
      <c r="C96" s="271">
        <v>0.75</v>
      </c>
      <c r="D96" s="121"/>
      <c r="E96" s="121"/>
      <c r="F96" s="133">
        <f t="shared" si="8"/>
        <v>1126125</v>
      </c>
      <c r="H96" s="290">
        <v>1</v>
      </c>
      <c r="I96" s="291">
        <f t="shared" si="9"/>
        <v>1126125</v>
      </c>
      <c r="L96" s="250"/>
      <c r="M96" s="250" t="s">
        <v>210</v>
      </c>
      <c r="N96" s="250"/>
      <c r="O96" s="250"/>
      <c r="P96" s="250"/>
      <c r="Q96" s="250"/>
      <c r="R96" s="250"/>
      <c r="S96" s="251">
        <v>135370</v>
      </c>
      <c r="T96" s="251">
        <v>293250</v>
      </c>
      <c r="U96" s="251">
        <v>-157880</v>
      </c>
      <c r="V96" s="252">
        <v>0.46161999999999997</v>
      </c>
    </row>
    <row r="97" spans="1:22" x14ac:dyDescent="0.2">
      <c r="A97" s="39" t="s">
        <v>369</v>
      </c>
      <c r="B97" s="276">
        <v>300300</v>
      </c>
      <c r="C97" s="271">
        <v>0</v>
      </c>
      <c r="D97" s="121"/>
      <c r="E97" s="121"/>
      <c r="F97" s="133">
        <f t="shared" si="8"/>
        <v>0</v>
      </c>
      <c r="H97" s="290">
        <v>1</v>
      </c>
      <c r="I97" s="291">
        <f t="shared" si="9"/>
        <v>0</v>
      </c>
      <c r="L97" s="250"/>
      <c r="M97" s="250" t="s">
        <v>211</v>
      </c>
      <c r="N97" s="250"/>
      <c r="O97" s="250"/>
      <c r="P97" s="250"/>
      <c r="Q97" s="250"/>
      <c r="R97" s="250"/>
      <c r="S97" s="251"/>
      <c r="T97" s="251"/>
      <c r="U97" s="251"/>
      <c r="V97" s="252"/>
    </row>
    <row r="98" spans="1:22" x14ac:dyDescent="0.2">
      <c r="A98" s="41" t="s">
        <v>384</v>
      </c>
      <c r="B98" s="276">
        <v>69200</v>
      </c>
      <c r="C98" s="271">
        <v>0</v>
      </c>
      <c r="D98" s="121">
        <f t="shared" si="10"/>
        <v>69200</v>
      </c>
      <c r="E98" s="121">
        <f t="shared" si="11"/>
        <v>69200</v>
      </c>
      <c r="F98" s="133">
        <f t="shared" si="8"/>
        <v>0</v>
      </c>
      <c r="H98" s="290">
        <v>0.3</v>
      </c>
      <c r="I98" s="291">
        <f t="shared" si="9"/>
        <v>0</v>
      </c>
      <c r="L98" s="250"/>
      <c r="M98" s="250"/>
      <c r="N98" s="250" t="s">
        <v>318</v>
      </c>
      <c r="O98" s="250"/>
      <c r="P98" s="250"/>
      <c r="Q98" s="250"/>
      <c r="R98" s="250"/>
      <c r="S98" s="251"/>
      <c r="T98" s="251"/>
      <c r="U98" s="251"/>
      <c r="V98" s="252"/>
    </row>
    <row r="99" spans="1:22" x14ac:dyDescent="0.2">
      <c r="A99" s="39" t="s">
        <v>409</v>
      </c>
      <c r="B99" s="276">
        <v>85000</v>
      </c>
      <c r="C99" s="271">
        <v>0</v>
      </c>
      <c r="D99" s="121">
        <f t="shared" si="10"/>
        <v>85000</v>
      </c>
      <c r="E99" s="121">
        <f t="shared" si="11"/>
        <v>85000</v>
      </c>
      <c r="F99" s="133">
        <f t="shared" si="8"/>
        <v>0</v>
      </c>
      <c r="H99" s="290">
        <v>0</v>
      </c>
      <c r="I99" s="291">
        <f t="shared" si="9"/>
        <v>0</v>
      </c>
      <c r="L99" s="250"/>
      <c r="M99" s="250"/>
      <c r="N99" s="250"/>
      <c r="O99" s="250" t="s">
        <v>319</v>
      </c>
      <c r="P99" s="250"/>
      <c r="Q99" s="250"/>
      <c r="R99" s="250"/>
      <c r="S99" s="251">
        <v>134296</v>
      </c>
      <c r="T99" s="251">
        <v>250000</v>
      </c>
      <c r="U99" s="251">
        <v>-115704</v>
      </c>
      <c r="V99" s="252">
        <v>0.53717999999999999</v>
      </c>
    </row>
    <row r="100" spans="1:22" x14ac:dyDescent="0.2">
      <c r="A100" s="41" t="s">
        <v>370</v>
      </c>
      <c r="B100" s="276">
        <v>105085</v>
      </c>
      <c r="C100" s="271">
        <v>0.1</v>
      </c>
      <c r="D100" s="121">
        <f t="shared" si="10"/>
        <v>94576.5</v>
      </c>
      <c r="E100" s="121">
        <f t="shared" si="11"/>
        <v>94576.5</v>
      </c>
      <c r="F100" s="133">
        <f t="shared" si="8"/>
        <v>10508.5</v>
      </c>
      <c r="H100" s="290">
        <v>0.3</v>
      </c>
      <c r="I100" s="291">
        <f t="shared" si="9"/>
        <v>3152.5499999999997</v>
      </c>
      <c r="L100" s="250"/>
      <c r="M100" s="250"/>
      <c r="N100" s="250"/>
      <c r="O100" s="250" t="s">
        <v>320</v>
      </c>
      <c r="P100" s="250"/>
      <c r="Q100" s="250"/>
      <c r="R100" s="250"/>
      <c r="S100" s="251">
        <v>62230</v>
      </c>
      <c r="T100" s="251">
        <v>500000</v>
      </c>
      <c r="U100" s="251">
        <v>-437770</v>
      </c>
      <c r="V100" s="252">
        <v>0.12446</v>
      </c>
    </row>
    <row r="101" spans="1:22" ht="15.75" thickBot="1" x14ac:dyDescent="0.3">
      <c r="A101" s="39" t="s">
        <v>371</v>
      </c>
      <c r="B101" s="276">
        <v>0</v>
      </c>
      <c r="C101" s="271">
        <v>0</v>
      </c>
      <c r="D101" s="121">
        <f t="shared" si="10"/>
        <v>0</v>
      </c>
      <c r="E101" s="121">
        <f t="shared" si="11"/>
        <v>0</v>
      </c>
      <c r="F101" s="133">
        <f t="shared" si="8"/>
        <v>0</v>
      </c>
      <c r="H101" s="290">
        <v>0</v>
      </c>
      <c r="I101" s="291">
        <f t="shared" si="9"/>
        <v>0</v>
      </c>
      <c r="L101" s="250"/>
      <c r="M101" s="250"/>
      <c r="N101" s="250"/>
      <c r="O101" s="250" t="s">
        <v>321</v>
      </c>
      <c r="P101" s="250"/>
      <c r="Q101" s="250"/>
      <c r="R101" s="250"/>
      <c r="S101" s="249">
        <v>0</v>
      </c>
      <c r="T101" s="251">
        <v>34560</v>
      </c>
      <c r="U101" s="251">
        <v>-34560</v>
      </c>
      <c r="V101" s="252">
        <v>0</v>
      </c>
    </row>
    <row r="102" spans="1:22" ht="13.5" thickBot="1" x14ac:dyDescent="0.25">
      <c r="A102" s="41" t="s">
        <v>383</v>
      </c>
      <c r="B102" s="276">
        <v>36190</v>
      </c>
      <c r="C102" s="271">
        <v>0</v>
      </c>
      <c r="D102" s="121">
        <f t="shared" si="10"/>
        <v>36190</v>
      </c>
      <c r="E102" s="121">
        <f t="shared" si="11"/>
        <v>36190</v>
      </c>
      <c r="F102" s="133">
        <f t="shared" si="8"/>
        <v>0</v>
      </c>
      <c r="H102" s="290">
        <v>0.3</v>
      </c>
      <c r="I102" s="291">
        <f t="shared" si="9"/>
        <v>0</v>
      </c>
      <c r="L102" s="250"/>
      <c r="M102" s="250"/>
      <c r="N102" s="250" t="s">
        <v>322</v>
      </c>
      <c r="O102" s="250"/>
      <c r="P102" s="250"/>
      <c r="Q102" s="250"/>
      <c r="R102" s="250"/>
      <c r="S102" s="255">
        <v>196526</v>
      </c>
      <c r="T102" s="255">
        <v>784560</v>
      </c>
      <c r="U102" s="255">
        <v>-588034</v>
      </c>
      <c r="V102" s="256">
        <v>0.25048999999999999</v>
      </c>
    </row>
    <row r="103" spans="1:22" ht="13.5" thickBot="1" x14ac:dyDescent="0.25">
      <c r="A103" s="39" t="s">
        <v>372</v>
      </c>
      <c r="B103" s="276">
        <v>16000</v>
      </c>
      <c r="C103" s="271">
        <v>0</v>
      </c>
      <c r="D103" s="121">
        <f t="shared" si="10"/>
        <v>16000</v>
      </c>
      <c r="E103" s="121">
        <f t="shared" si="11"/>
        <v>16000</v>
      </c>
      <c r="F103" s="133">
        <f t="shared" si="8"/>
        <v>0</v>
      </c>
      <c r="H103" s="290">
        <v>1</v>
      </c>
      <c r="I103" s="291">
        <f t="shared" si="9"/>
        <v>0</v>
      </c>
      <c r="L103" s="250"/>
      <c r="M103" s="250" t="s">
        <v>217</v>
      </c>
      <c r="N103" s="250"/>
      <c r="O103" s="250"/>
      <c r="P103" s="250"/>
      <c r="Q103" s="250"/>
      <c r="R103" s="250"/>
      <c r="S103" s="255">
        <v>196526</v>
      </c>
      <c r="T103" s="255">
        <v>784560</v>
      </c>
      <c r="U103" s="255">
        <v>-588034</v>
      </c>
      <c r="V103" s="256">
        <v>0.25048999999999999</v>
      </c>
    </row>
    <row r="104" spans="1:22" ht="13.5" thickBot="1" x14ac:dyDescent="0.25">
      <c r="A104" s="39" t="s">
        <v>379</v>
      </c>
      <c r="B104" s="276">
        <v>614730</v>
      </c>
      <c r="C104" s="271">
        <v>0.8</v>
      </c>
      <c r="D104" s="121">
        <f t="shared" si="10"/>
        <v>122946</v>
      </c>
      <c r="E104" s="121">
        <f t="shared" si="11"/>
        <v>122946</v>
      </c>
      <c r="F104" s="133">
        <f t="shared" si="8"/>
        <v>491784</v>
      </c>
      <c r="H104" s="290">
        <v>0.3</v>
      </c>
      <c r="I104" s="291">
        <f t="shared" si="9"/>
        <v>147535.19999999998</v>
      </c>
      <c r="L104" s="250" t="s">
        <v>218</v>
      </c>
      <c r="M104" s="250"/>
      <c r="N104" s="250"/>
      <c r="O104" s="250"/>
      <c r="P104" s="250"/>
      <c r="Q104" s="250"/>
      <c r="R104" s="250"/>
      <c r="S104" s="255">
        <v>-61156</v>
      </c>
      <c r="T104" s="255">
        <v>-491310</v>
      </c>
      <c r="U104" s="255">
        <v>430154</v>
      </c>
      <c r="V104" s="256">
        <v>0.12447999999999999</v>
      </c>
    </row>
    <row r="105" spans="1:22" ht="13.5" thickBot="1" x14ac:dyDescent="0.25">
      <c r="A105" s="39" t="s">
        <v>373</v>
      </c>
      <c r="B105" s="296">
        <v>750000</v>
      </c>
      <c r="C105" s="271">
        <v>0.8</v>
      </c>
      <c r="D105" s="121">
        <f t="shared" si="10"/>
        <v>150000</v>
      </c>
      <c r="E105" s="121">
        <f t="shared" si="11"/>
        <v>150000</v>
      </c>
      <c r="F105" s="133">
        <f t="shared" si="8"/>
        <v>600000</v>
      </c>
      <c r="H105" s="290">
        <v>0</v>
      </c>
      <c r="I105" s="291">
        <f t="shared" si="9"/>
        <v>0</v>
      </c>
      <c r="L105" s="250"/>
      <c r="M105" s="250"/>
      <c r="N105" s="250"/>
      <c r="O105" s="250"/>
      <c r="P105" s="250"/>
      <c r="Q105" s="250"/>
      <c r="R105" s="250"/>
      <c r="S105" s="259">
        <v>303616</v>
      </c>
      <c r="T105" s="259">
        <v>-288158</v>
      </c>
      <c r="U105" s="259">
        <v>591774</v>
      </c>
      <c r="V105" s="260">
        <v>-1.0536399999999999</v>
      </c>
    </row>
    <row r="106" spans="1:22" ht="6" customHeight="1" thickTop="1" thickBot="1" x14ac:dyDescent="0.25">
      <c r="A106" s="340"/>
      <c r="B106" s="296"/>
      <c r="C106" s="271"/>
      <c r="D106" s="296"/>
      <c r="E106" s="103"/>
      <c r="F106" s="103"/>
      <c r="H106" s="290"/>
      <c r="I106" s="291"/>
      <c r="L106" s="250"/>
      <c r="M106" s="250"/>
      <c r="N106" s="250"/>
      <c r="O106" s="250"/>
      <c r="P106" s="250"/>
      <c r="Q106" s="250"/>
      <c r="R106" s="250"/>
      <c r="S106" s="297"/>
      <c r="T106" s="297"/>
      <c r="U106" s="297"/>
      <c r="V106" s="298"/>
    </row>
    <row r="107" spans="1:22" s="104" customFormat="1" ht="16.5" thickBot="1" x14ac:dyDescent="0.3">
      <c r="A107" s="63" t="s">
        <v>14</v>
      </c>
      <c r="B107" s="299">
        <v>610701</v>
      </c>
      <c r="C107" s="300">
        <v>0.9</v>
      </c>
      <c r="D107" s="160">
        <f>SUM(D79:D105)</f>
        <v>1165637.5</v>
      </c>
      <c r="E107" s="160">
        <f>SUM(E79:E105)</f>
        <v>1123490.5</v>
      </c>
      <c r="F107" s="160">
        <f>SUM(F79:F105)</f>
        <v>7057687.5</v>
      </c>
      <c r="G107" s="301">
        <f>F107-E107</f>
        <v>5934197</v>
      </c>
      <c r="H107" s="302">
        <f>G107/E107</f>
        <v>5.2819289526702722</v>
      </c>
      <c r="I107" s="303"/>
      <c r="L107" s="304"/>
      <c r="M107" s="304"/>
      <c r="N107" s="304"/>
      <c r="O107" s="304"/>
      <c r="P107" s="304"/>
      <c r="Q107" s="305" t="s">
        <v>297</v>
      </c>
      <c r="R107" s="305"/>
      <c r="S107" s="306">
        <v>1375</v>
      </c>
      <c r="T107" s="306">
        <v>8760</v>
      </c>
      <c r="U107" s="306">
        <v>-7385</v>
      </c>
      <c r="V107" s="307">
        <v>0.15695999999999999</v>
      </c>
    </row>
    <row r="108" spans="1:22" s="104" customFormat="1" ht="16.5" thickBot="1" x14ac:dyDescent="0.3">
      <c r="A108" s="59" t="s">
        <v>64</v>
      </c>
      <c r="B108" s="341">
        <v>628405</v>
      </c>
      <c r="C108" s="336">
        <v>0.71</v>
      </c>
      <c r="D108" s="197">
        <f>D75</f>
        <v>370000</v>
      </c>
      <c r="E108" s="197">
        <f>E75</f>
        <v>493200</v>
      </c>
      <c r="F108" s="198">
        <f>F75</f>
        <v>1484260</v>
      </c>
      <c r="G108" s="335">
        <f>F108-E108</f>
        <v>991060</v>
      </c>
      <c r="H108" s="309">
        <f>G108/E108</f>
        <v>2.0094484995944848</v>
      </c>
      <c r="I108" s="342"/>
      <c r="L108" s="304"/>
      <c r="M108" s="304"/>
      <c r="N108" s="304"/>
      <c r="O108" s="304"/>
      <c r="P108" s="304" t="s">
        <v>298</v>
      </c>
      <c r="Q108" s="305"/>
      <c r="R108" s="305"/>
      <c r="S108" s="310">
        <v>46932</v>
      </c>
      <c r="T108" s="310">
        <v>204000</v>
      </c>
      <c r="U108" s="310">
        <v>-157068</v>
      </c>
      <c r="V108" s="311">
        <v>0.23005999999999999</v>
      </c>
    </row>
    <row r="109" spans="1:22" ht="16.5" thickBot="1" x14ac:dyDescent="0.3">
      <c r="A109" s="334" t="s">
        <v>59</v>
      </c>
      <c r="B109" s="335">
        <v>17704</v>
      </c>
      <c r="C109" s="336">
        <v>0.09</v>
      </c>
      <c r="D109" s="164">
        <f>D108-D108-D107</f>
        <v>-1165637.5</v>
      </c>
      <c r="E109" s="164">
        <f>E107-E108</f>
        <v>630290.5</v>
      </c>
      <c r="F109" s="164">
        <f>F107-F108</f>
        <v>5573427.5</v>
      </c>
    </row>
    <row r="112" spans="1:22" ht="13.5" thickBot="1" x14ac:dyDescent="0.25">
      <c r="A112" s="49"/>
      <c r="B112" s="115"/>
      <c r="C112" s="271"/>
      <c r="D112" s="272"/>
      <c r="E112" s="272"/>
      <c r="F112" s="272"/>
      <c r="G112" s="115"/>
      <c r="H112" s="273"/>
      <c r="L112" s="250"/>
      <c r="M112" s="250"/>
      <c r="N112" s="250"/>
      <c r="O112" s="250"/>
      <c r="P112" s="250"/>
      <c r="Q112" s="250"/>
      <c r="R112" s="250"/>
      <c r="S112" s="251"/>
      <c r="T112" s="251"/>
      <c r="U112" s="251"/>
      <c r="V112" s="252"/>
    </row>
    <row r="113" spans="1:22" ht="18" x14ac:dyDescent="0.25">
      <c r="A113" s="733" t="s">
        <v>32</v>
      </c>
      <c r="B113" s="734"/>
      <c r="C113" s="734"/>
      <c r="D113" s="734"/>
      <c r="E113" s="734"/>
      <c r="F113" s="734"/>
      <c r="G113" s="734"/>
      <c r="H113" s="734"/>
      <c r="I113" s="735"/>
      <c r="L113" s="250"/>
      <c r="M113" s="250"/>
      <c r="N113" s="250"/>
      <c r="O113" s="250"/>
      <c r="P113" s="250"/>
      <c r="Q113" s="250"/>
      <c r="R113" s="250"/>
      <c r="S113" s="251"/>
      <c r="T113" s="251"/>
      <c r="U113" s="251"/>
      <c r="V113" s="252"/>
    </row>
    <row r="114" spans="1:22" ht="23.25" x14ac:dyDescent="0.35">
      <c r="A114" s="730" t="s">
        <v>405</v>
      </c>
      <c r="B114" s="731"/>
      <c r="C114" s="731"/>
      <c r="D114" s="731"/>
      <c r="E114" s="731"/>
      <c r="F114" s="731"/>
      <c r="G114" s="731"/>
      <c r="H114" s="731"/>
      <c r="I114" s="732"/>
      <c r="L114" s="250"/>
      <c r="M114" s="250"/>
      <c r="N114" s="250"/>
      <c r="O114" s="250"/>
      <c r="P114" s="250"/>
      <c r="Q114" s="250"/>
      <c r="R114" s="250"/>
      <c r="S114" s="251"/>
      <c r="T114" s="251"/>
      <c r="U114" s="251"/>
      <c r="V114" s="252"/>
    </row>
    <row r="115" spans="1:22" ht="25.5" x14ac:dyDescent="0.2">
      <c r="A115" s="343" t="s">
        <v>341</v>
      </c>
      <c r="B115" s="344"/>
      <c r="C115" s="345"/>
      <c r="D115" s="346" t="s">
        <v>77</v>
      </c>
      <c r="E115" s="347" t="s">
        <v>12</v>
      </c>
      <c r="F115" s="348" t="s">
        <v>343</v>
      </c>
      <c r="G115" s="344"/>
      <c r="H115" s="349"/>
      <c r="I115" s="350"/>
      <c r="L115" s="250"/>
      <c r="M115" s="250"/>
      <c r="N115" s="250"/>
      <c r="O115" s="250"/>
      <c r="P115" s="250"/>
      <c r="Q115" s="250"/>
      <c r="R115" s="250"/>
      <c r="S115" s="251"/>
      <c r="T115" s="251"/>
      <c r="U115" s="251"/>
      <c r="V115" s="252"/>
    </row>
    <row r="116" spans="1:22" ht="15.75" x14ac:dyDescent="0.25">
      <c r="A116" s="351"/>
      <c r="B116" s="352"/>
      <c r="C116" s="352"/>
      <c r="D116" s="353" t="s">
        <v>93</v>
      </c>
      <c r="E116" s="353" t="s">
        <v>93</v>
      </c>
      <c r="F116" s="354" t="s">
        <v>244</v>
      </c>
      <c r="G116" s="344"/>
      <c r="H116" s="349"/>
      <c r="I116" s="350"/>
      <c r="L116" s="250"/>
      <c r="M116" s="250"/>
      <c r="N116" s="250"/>
      <c r="O116" s="250"/>
      <c r="P116" s="250"/>
      <c r="Q116" s="250"/>
      <c r="R116" s="250"/>
      <c r="S116" s="251"/>
      <c r="T116" s="251"/>
      <c r="U116" s="251"/>
      <c r="V116" s="252"/>
    </row>
    <row r="117" spans="1:22" ht="26.25" x14ac:dyDescent="0.25">
      <c r="A117" s="355" t="s">
        <v>346</v>
      </c>
      <c r="B117" s="356"/>
      <c r="C117" s="356"/>
      <c r="D117" s="357">
        <v>953961.44</v>
      </c>
      <c r="E117" s="357">
        <v>650000</v>
      </c>
      <c r="F117" s="357">
        <v>450000</v>
      </c>
      <c r="G117" s="344">
        <f t="shared" ref="G117:G122" si="12">F117-E117</f>
        <v>-200000</v>
      </c>
      <c r="H117" s="358">
        <f>G117/E117</f>
        <v>-0.30769230769230771</v>
      </c>
      <c r="I117" s="359" t="s">
        <v>351</v>
      </c>
      <c r="L117" s="250"/>
      <c r="M117" s="250"/>
      <c r="N117" s="250"/>
      <c r="O117" s="250"/>
      <c r="P117" s="250"/>
      <c r="Q117" s="250"/>
      <c r="R117" s="250"/>
      <c r="S117" s="251"/>
      <c r="T117" s="251"/>
      <c r="U117" s="251"/>
      <c r="V117" s="252"/>
    </row>
    <row r="118" spans="1:22" ht="15" x14ac:dyDescent="0.25">
      <c r="A118" s="355" t="s">
        <v>347</v>
      </c>
      <c r="B118" s="356"/>
      <c r="C118" s="356"/>
      <c r="D118" s="357">
        <v>10734.78</v>
      </c>
      <c r="E118" s="357">
        <v>0</v>
      </c>
      <c r="F118" s="357">
        <v>0</v>
      </c>
      <c r="G118" s="344">
        <f t="shared" si="12"/>
        <v>0</v>
      </c>
      <c r="H118" s="358" t="e">
        <f>G118/E118</f>
        <v>#DIV/0!</v>
      </c>
      <c r="I118" s="359" t="s">
        <v>342</v>
      </c>
      <c r="L118" s="250"/>
      <c r="M118" s="250"/>
      <c r="N118" s="250"/>
      <c r="O118" s="250"/>
      <c r="P118" s="250"/>
      <c r="Q118" s="250"/>
      <c r="R118" s="250"/>
      <c r="S118" s="251"/>
      <c r="T118" s="251"/>
      <c r="U118" s="251"/>
      <c r="V118" s="252"/>
    </row>
    <row r="119" spans="1:22" ht="15" x14ac:dyDescent="0.25">
      <c r="A119" s="355" t="s">
        <v>348</v>
      </c>
      <c r="B119" s="356"/>
      <c r="C119" s="356"/>
      <c r="D119" s="357">
        <v>55480.24</v>
      </c>
      <c r="E119" s="357">
        <v>0</v>
      </c>
      <c r="F119" s="357">
        <v>0</v>
      </c>
      <c r="G119" s="344">
        <f t="shared" si="12"/>
        <v>0</v>
      </c>
      <c r="H119" s="358" t="e">
        <f>G119/E119</f>
        <v>#DIV/0!</v>
      </c>
      <c r="I119" s="350"/>
      <c r="L119" s="250"/>
      <c r="M119" s="250"/>
      <c r="N119" s="250"/>
      <c r="O119" s="250"/>
      <c r="P119" s="250"/>
      <c r="Q119" s="250"/>
      <c r="R119" s="250"/>
      <c r="S119" s="251"/>
      <c r="T119" s="251"/>
      <c r="U119" s="251"/>
      <c r="V119" s="252"/>
    </row>
    <row r="120" spans="1:22" ht="15" x14ac:dyDescent="0.25">
      <c r="A120" s="355" t="s">
        <v>349</v>
      </c>
      <c r="B120" s="356"/>
      <c r="C120" s="356"/>
      <c r="D120" s="357">
        <v>165050.22</v>
      </c>
      <c r="E120" s="357">
        <v>16600</v>
      </c>
      <c r="F120" s="357">
        <v>167000</v>
      </c>
      <c r="G120" s="344">
        <f t="shared" si="12"/>
        <v>150400</v>
      </c>
      <c r="H120" s="358">
        <f>G120/E120</f>
        <v>9.0602409638554224</v>
      </c>
      <c r="I120" s="350"/>
      <c r="L120" s="250"/>
      <c r="M120" s="250"/>
      <c r="N120" s="250"/>
      <c r="O120" s="250"/>
      <c r="P120" s="250"/>
      <c r="Q120" s="250"/>
      <c r="R120" s="250"/>
      <c r="S120" s="251"/>
      <c r="T120" s="251"/>
      <c r="U120" s="251"/>
      <c r="V120" s="252"/>
    </row>
    <row r="121" spans="1:22" ht="39.75" thickBot="1" x14ac:dyDescent="0.3">
      <c r="A121" s="355" t="s">
        <v>350</v>
      </c>
      <c r="B121" s="356"/>
      <c r="C121" s="356"/>
      <c r="D121" s="357">
        <v>1628330.75</v>
      </c>
      <c r="E121" s="357">
        <v>1630000</v>
      </c>
      <c r="F121" s="357">
        <f>1630000+F57</f>
        <v>1930000</v>
      </c>
      <c r="G121" s="344">
        <f t="shared" si="12"/>
        <v>300000</v>
      </c>
      <c r="H121" s="358">
        <f>G121/E121</f>
        <v>0.18404907975460122</v>
      </c>
      <c r="I121" s="360" t="s">
        <v>413</v>
      </c>
      <c r="L121" s="250"/>
      <c r="M121" s="250"/>
      <c r="N121" s="250"/>
      <c r="O121" s="250"/>
      <c r="P121" s="250"/>
      <c r="Q121" s="250"/>
      <c r="R121" s="250"/>
      <c r="S121" s="251"/>
      <c r="T121" s="251"/>
      <c r="U121" s="251"/>
      <c r="V121" s="252"/>
    </row>
    <row r="122" spans="1:22" s="104" customFormat="1" ht="16.5" thickBot="1" x14ac:dyDescent="0.3">
      <c r="A122" s="361" t="s">
        <v>56</v>
      </c>
      <c r="B122" s="362"/>
      <c r="C122" s="363"/>
      <c r="D122" s="364">
        <f>SUM(D117:D121)</f>
        <v>2813557.4299999997</v>
      </c>
      <c r="E122" s="364"/>
      <c r="F122" s="364">
        <f>SUM(F117:F121)</f>
        <v>2547000</v>
      </c>
      <c r="G122" s="365">
        <f t="shared" si="12"/>
        <v>2547000</v>
      </c>
      <c r="H122" s="366"/>
      <c r="I122" s="367"/>
      <c r="L122" s="304"/>
      <c r="M122" s="304"/>
      <c r="N122" s="304"/>
      <c r="O122" s="304"/>
      <c r="P122" s="304"/>
      <c r="Q122" s="304"/>
      <c r="R122" s="304"/>
      <c r="S122" s="332"/>
      <c r="T122" s="332"/>
      <c r="U122" s="332"/>
      <c r="V122" s="333"/>
    </row>
    <row r="123" spans="1:22" x14ac:dyDescent="0.2">
      <c r="A123" s="368"/>
      <c r="B123" s="344"/>
      <c r="C123" s="345"/>
      <c r="D123" s="348"/>
      <c r="E123" s="348"/>
      <c r="F123" s="348"/>
      <c r="G123" s="344"/>
      <c r="H123" s="349"/>
      <c r="I123" s="350"/>
      <c r="L123" s="250"/>
      <c r="M123" s="250"/>
      <c r="N123" s="250"/>
      <c r="O123" s="250"/>
      <c r="P123" s="250"/>
      <c r="Q123" s="250"/>
      <c r="R123" s="250"/>
      <c r="S123" s="251"/>
      <c r="T123" s="251"/>
      <c r="U123" s="251"/>
      <c r="V123" s="252"/>
    </row>
    <row r="124" spans="1:22" ht="15.75" thickBot="1" x14ac:dyDescent="0.25">
      <c r="A124" s="369" t="s">
        <v>386</v>
      </c>
      <c r="B124" s="370"/>
      <c r="C124" s="371" t="e">
        <f>B124/E124</f>
        <v>#DIV/0!</v>
      </c>
      <c r="D124" s="372"/>
      <c r="E124" s="372"/>
      <c r="F124" s="373">
        <v>7000000</v>
      </c>
      <c r="G124" s="370"/>
      <c r="H124" s="374"/>
      <c r="I124" s="375" t="s">
        <v>337</v>
      </c>
      <c r="L124" s="250"/>
      <c r="M124" s="250"/>
      <c r="N124" s="250"/>
      <c r="O124" s="250"/>
      <c r="P124" s="250"/>
      <c r="Q124" s="250" t="s">
        <v>306</v>
      </c>
      <c r="R124" s="250"/>
      <c r="S124" s="251">
        <v>2965</v>
      </c>
      <c r="T124" s="251">
        <v>3000</v>
      </c>
      <c r="U124" s="251">
        <v>-35</v>
      </c>
      <c r="V124" s="252">
        <v>0.98833000000000004</v>
      </c>
    </row>
    <row r="125" spans="1:22" x14ac:dyDescent="0.2">
      <c r="A125" s="49"/>
      <c r="B125" s="115"/>
      <c r="C125" s="271"/>
      <c r="D125" s="272"/>
      <c r="E125" s="272"/>
      <c r="F125" s="272"/>
      <c r="G125" s="115"/>
      <c r="H125" s="273"/>
      <c r="L125" s="250"/>
      <c r="M125" s="250"/>
      <c r="N125" s="250"/>
      <c r="O125" s="250"/>
      <c r="P125" s="250"/>
      <c r="Q125" s="250"/>
      <c r="R125" s="250"/>
      <c r="S125" s="251"/>
      <c r="T125" s="251"/>
      <c r="U125" s="251"/>
      <c r="V125" s="252"/>
    </row>
    <row r="126" spans="1:22" x14ac:dyDescent="0.2">
      <c r="A126" s="49"/>
      <c r="B126" s="115"/>
      <c r="C126" s="271"/>
      <c r="D126" s="272"/>
      <c r="E126" s="272"/>
      <c r="F126" s="272"/>
      <c r="G126" s="115"/>
      <c r="H126" s="273"/>
      <c r="L126" s="250"/>
      <c r="M126" s="250"/>
      <c r="N126" s="250"/>
      <c r="O126" s="250"/>
      <c r="P126" s="250"/>
      <c r="Q126" s="250"/>
      <c r="R126" s="250"/>
      <c r="S126" s="251"/>
      <c r="T126" s="251"/>
      <c r="U126" s="251"/>
      <c r="V126" s="252"/>
    </row>
    <row r="127" spans="1:22" ht="13.5" thickBot="1" x14ac:dyDescent="0.25">
      <c r="A127" s="49"/>
      <c r="B127" s="115"/>
      <c r="C127" s="271"/>
      <c r="D127" s="272"/>
      <c r="E127" s="272"/>
      <c r="F127" s="272"/>
      <c r="G127" s="115"/>
      <c r="H127" s="273"/>
      <c r="L127" s="250"/>
      <c r="M127" s="250"/>
      <c r="N127" s="250"/>
      <c r="O127" s="250"/>
      <c r="P127" s="250"/>
      <c r="Q127" s="250"/>
      <c r="R127" s="250"/>
      <c r="S127" s="251"/>
      <c r="T127" s="251"/>
      <c r="U127" s="251"/>
      <c r="V127" s="252"/>
    </row>
    <row r="128" spans="1:22" ht="18" x14ac:dyDescent="0.25">
      <c r="A128" s="733" t="s">
        <v>32</v>
      </c>
      <c r="B128" s="734"/>
      <c r="C128" s="734"/>
      <c r="D128" s="734"/>
      <c r="E128" s="734"/>
      <c r="F128" s="734"/>
      <c r="G128" s="734"/>
      <c r="H128" s="734"/>
      <c r="I128" s="735"/>
      <c r="L128" s="250"/>
      <c r="M128" s="250"/>
      <c r="N128" s="250"/>
      <c r="O128" s="250"/>
      <c r="P128" s="250"/>
      <c r="Q128" s="250"/>
      <c r="R128" s="250"/>
      <c r="S128" s="251"/>
      <c r="T128" s="251"/>
      <c r="U128" s="251"/>
      <c r="V128" s="252"/>
    </row>
    <row r="129" spans="1:22" ht="23.25" x14ac:dyDescent="0.35">
      <c r="A129" s="730" t="s">
        <v>406</v>
      </c>
      <c r="B129" s="731"/>
      <c r="C129" s="731"/>
      <c r="D129" s="731"/>
      <c r="E129" s="731"/>
      <c r="F129" s="731"/>
      <c r="G129" s="731"/>
      <c r="H129" s="731"/>
      <c r="I129" s="732"/>
      <c r="L129" s="250"/>
      <c r="M129" s="250"/>
      <c r="N129" s="250"/>
      <c r="O129" s="250"/>
      <c r="P129" s="250"/>
      <c r="Q129" s="250"/>
      <c r="R129" s="250"/>
      <c r="S129" s="251"/>
      <c r="T129" s="251"/>
      <c r="U129" s="251"/>
      <c r="V129" s="252"/>
    </row>
    <row r="130" spans="1:22" ht="13.5" thickBot="1" x14ac:dyDescent="0.25">
      <c r="A130" s="376"/>
      <c r="B130" s="344"/>
      <c r="C130" s="345"/>
      <c r="D130" s="377"/>
      <c r="E130" s="377"/>
      <c r="F130" s="378"/>
      <c r="G130" s="370"/>
      <c r="H130" s="374"/>
      <c r="I130" s="350"/>
      <c r="L130" s="250"/>
      <c r="M130" s="250"/>
      <c r="N130" s="250"/>
      <c r="O130" s="250"/>
      <c r="P130" s="250" t="s">
        <v>301</v>
      </c>
      <c r="Q130" s="250"/>
      <c r="R130" s="250"/>
      <c r="S130" s="251">
        <v>0</v>
      </c>
      <c r="T130" s="251">
        <v>1836</v>
      </c>
      <c r="U130" s="251">
        <v>-1836</v>
      </c>
      <c r="V130" s="252">
        <v>0</v>
      </c>
    </row>
    <row r="131" spans="1:22" ht="15.75" x14ac:dyDescent="0.25">
      <c r="A131" s="379" t="s">
        <v>390</v>
      </c>
      <c r="B131" s="344"/>
      <c r="C131" s="345"/>
      <c r="D131" s="380" t="str">
        <f>D18</f>
        <v>2021</v>
      </c>
      <c r="E131" s="380" t="s">
        <v>93</v>
      </c>
      <c r="F131" s="381">
        <v>2022</v>
      </c>
      <c r="G131" s="382"/>
      <c r="H131" s="383"/>
      <c r="I131" s="350"/>
      <c r="L131" s="250"/>
      <c r="M131" s="250"/>
      <c r="N131" s="250"/>
      <c r="O131" s="250"/>
      <c r="P131" s="250" t="s">
        <v>302</v>
      </c>
      <c r="Q131" s="250"/>
      <c r="R131" s="250"/>
      <c r="S131" s="251"/>
      <c r="T131" s="251"/>
      <c r="U131" s="251"/>
      <c r="V131" s="252"/>
    </row>
    <row r="132" spans="1:22" ht="16.5" thickBot="1" x14ac:dyDescent="0.3">
      <c r="A132" s="384"/>
      <c r="B132" s="344"/>
      <c r="C132" s="345"/>
      <c r="D132" s="385" t="s">
        <v>88</v>
      </c>
      <c r="E132" s="385"/>
      <c r="F132" s="386"/>
      <c r="G132" s="387" t="s">
        <v>0</v>
      </c>
      <c r="H132" s="388" t="s">
        <v>9</v>
      </c>
      <c r="I132" s="350"/>
      <c r="L132" s="250"/>
      <c r="M132" s="250"/>
      <c r="N132" s="250"/>
      <c r="O132" s="250"/>
      <c r="P132" s="250"/>
      <c r="Q132" s="250" t="s">
        <v>303</v>
      </c>
      <c r="R132" s="250"/>
      <c r="S132" s="251">
        <v>393</v>
      </c>
      <c r="T132" s="251">
        <v>660</v>
      </c>
      <c r="U132" s="251">
        <v>-267</v>
      </c>
      <c r="V132" s="252">
        <v>0.59545000000000003</v>
      </c>
    </row>
    <row r="133" spans="1:22" ht="15.75" x14ac:dyDescent="0.25">
      <c r="A133" s="351" t="s">
        <v>26</v>
      </c>
      <c r="B133" s="344"/>
      <c r="C133" s="345"/>
      <c r="D133" s="389"/>
      <c r="E133" s="389"/>
      <c r="F133" s="390"/>
      <c r="G133" s="344">
        <f t="shared" ref="G133:G144" si="13">F133-E133</f>
        <v>0</v>
      </c>
      <c r="H133" s="391"/>
      <c r="I133" s="350"/>
      <c r="J133" s="13"/>
      <c r="L133" s="250"/>
      <c r="M133" s="250"/>
      <c r="N133" s="250"/>
      <c r="O133" s="250"/>
      <c r="P133" s="250"/>
      <c r="Q133" s="250" t="s">
        <v>304</v>
      </c>
      <c r="R133" s="250"/>
      <c r="S133" s="251">
        <v>84</v>
      </c>
      <c r="T133" s="251">
        <v>252</v>
      </c>
      <c r="U133" s="251">
        <v>-168</v>
      </c>
      <c r="V133" s="252">
        <v>0.33333000000000002</v>
      </c>
    </row>
    <row r="134" spans="1:22" x14ac:dyDescent="0.2">
      <c r="A134" s="113" t="s">
        <v>63</v>
      </c>
      <c r="B134" s="344">
        <f>S94</f>
        <v>135231</v>
      </c>
      <c r="C134" s="345">
        <f>B134/E134</f>
        <v>0.46122442019099591</v>
      </c>
      <c r="D134" s="392">
        <v>170000</v>
      </c>
      <c r="E134" s="392">
        <v>293200</v>
      </c>
      <c r="F134" s="393">
        <f>50*5864</f>
        <v>293200</v>
      </c>
      <c r="G134" s="344">
        <f t="shared" si="13"/>
        <v>0</v>
      </c>
      <c r="H134" s="358">
        <f>G134/E134</f>
        <v>0</v>
      </c>
      <c r="I134" s="350"/>
      <c r="L134" s="250"/>
      <c r="M134" s="250"/>
      <c r="N134" s="250"/>
      <c r="O134" s="250"/>
      <c r="P134" s="250"/>
      <c r="Q134" s="250" t="s">
        <v>305</v>
      </c>
      <c r="R134" s="250"/>
      <c r="S134" s="251">
        <v>480</v>
      </c>
      <c r="T134" s="251">
        <v>2832</v>
      </c>
      <c r="U134" s="251">
        <v>-2352</v>
      </c>
      <c r="V134" s="252">
        <v>0.16949</v>
      </c>
    </row>
    <row r="135" spans="1:22" ht="15" x14ac:dyDescent="0.2">
      <c r="A135" s="113" t="s">
        <v>345</v>
      </c>
      <c r="B135" s="344"/>
      <c r="C135" s="345"/>
      <c r="D135" s="394">
        <v>0</v>
      </c>
      <c r="E135" s="394">
        <v>0</v>
      </c>
      <c r="F135" s="395">
        <v>0</v>
      </c>
      <c r="G135" s="344"/>
      <c r="H135" s="358"/>
      <c r="I135" s="359" t="s">
        <v>392</v>
      </c>
      <c r="L135" s="250"/>
      <c r="M135" s="250"/>
      <c r="N135" s="250"/>
      <c r="O135" s="250"/>
      <c r="P135" s="250"/>
      <c r="Q135" s="250"/>
      <c r="R135" s="250"/>
      <c r="S135" s="251"/>
      <c r="T135" s="251"/>
      <c r="U135" s="251"/>
      <c r="V135" s="252"/>
    </row>
    <row r="136" spans="1:22" ht="13.5" thickBot="1" x14ac:dyDescent="0.25">
      <c r="A136" s="113" t="s">
        <v>339</v>
      </c>
      <c r="B136" s="396">
        <f>S93</f>
        <v>139</v>
      </c>
      <c r="C136" s="345">
        <f>B136/E136</f>
        <v>2.78</v>
      </c>
      <c r="D136" s="392">
        <f>B136*1.17</f>
        <v>162.63</v>
      </c>
      <c r="E136" s="392">
        <v>50</v>
      </c>
      <c r="F136" s="392">
        <v>20</v>
      </c>
      <c r="G136" s="344">
        <f t="shared" si="13"/>
        <v>-30</v>
      </c>
      <c r="H136" s="397">
        <f>G136/E136</f>
        <v>-0.6</v>
      </c>
      <c r="I136" s="398"/>
      <c r="L136" s="250"/>
      <c r="M136" s="250"/>
      <c r="N136" s="250"/>
      <c r="O136" s="250"/>
      <c r="P136" s="250"/>
      <c r="Q136" s="250" t="s">
        <v>307</v>
      </c>
      <c r="R136" s="250"/>
      <c r="S136" s="251">
        <v>256</v>
      </c>
      <c r="T136" s="251">
        <v>256</v>
      </c>
      <c r="U136" s="251">
        <v>0</v>
      </c>
      <c r="V136" s="252">
        <v>1</v>
      </c>
    </row>
    <row r="137" spans="1:22" ht="17.25" thickTop="1" thickBot="1" x14ac:dyDescent="0.3">
      <c r="A137" s="399" t="s">
        <v>7</v>
      </c>
      <c r="B137" s="344">
        <f>SUM(B133:B136)</f>
        <v>135370</v>
      </c>
      <c r="C137" s="345">
        <f t="shared" ref="C137:C144" si="14">B137/E137</f>
        <v>0.17254257163250739</v>
      </c>
      <c r="D137" s="400">
        <f>SUM(D134:D136)</f>
        <v>170162.63</v>
      </c>
      <c r="E137" s="400">
        <v>784560</v>
      </c>
      <c r="F137" s="401">
        <f>SUM(F132:F136)</f>
        <v>293220</v>
      </c>
      <c r="G137" s="402">
        <f t="shared" si="13"/>
        <v>-491340</v>
      </c>
      <c r="H137" s="391">
        <f>G137/E137</f>
        <v>-0.62626185377791377</v>
      </c>
      <c r="I137" s="350"/>
      <c r="L137" s="250"/>
      <c r="M137" s="250"/>
      <c r="N137" s="250"/>
      <c r="O137" s="250"/>
      <c r="P137" s="250" t="s">
        <v>308</v>
      </c>
      <c r="Q137" s="250"/>
      <c r="R137" s="250"/>
      <c r="S137" s="257">
        <v>4178</v>
      </c>
      <c r="T137" s="257">
        <v>7000</v>
      </c>
      <c r="U137" s="257">
        <v>-2822</v>
      </c>
      <c r="V137" s="258">
        <v>0.59685999999999995</v>
      </c>
    </row>
    <row r="138" spans="1:22" ht="15.75" x14ac:dyDescent="0.25">
      <c r="A138" s="403"/>
      <c r="B138" s="344"/>
      <c r="C138" s="345"/>
      <c r="D138" s="404"/>
      <c r="E138" s="404"/>
      <c r="F138" s="405"/>
      <c r="G138" s="344"/>
      <c r="H138" s="358"/>
      <c r="I138" s="350"/>
      <c r="L138" s="250"/>
      <c r="M138" s="250"/>
      <c r="N138" s="250"/>
      <c r="O138" s="250"/>
      <c r="P138" s="250"/>
      <c r="Q138" s="250"/>
      <c r="R138" s="250"/>
      <c r="S138" s="251"/>
      <c r="T138" s="251"/>
      <c r="U138" s="251"/>
      <c r="V138" s="252"/>
    </row>
    <row r="139" spans="1:22" ht="16.5" thickBot="1" x14ac:dyDescent="0.3">
      <c r="A139" s="406" t="s">
        <v>340</v>
      </c>
      <c r="B139" s="344"/>
      <c r="C139" s="345"/>
      <c r="D139" s="407"/>
      <c r="E139" s="407"/>
      <c r="F139" s="408"/>
      <c r="G139" s="344">
        <f t="shared" si="13"/>
        <v>0</v>
      </c>
      <c r="H139" s="358"/>
      <c r="I139" s="350"/>
      <c r="L139" s="250"/>
      <c r="M139" s="250"/>
      <c r="N139" s="250"/>
      <c r="O139" s="250" t="s">
        <v>309</v>
      </c>
      <c r="P139" s="250"/>
      <c r="Q139" s="250"/>
      <c r="R139" s="250"/>
      <c r="S139" s="251">
        <v>194378</v>
      </c>
      <c r="T139" s="251">
        <v>288071</v>
      </c>
      <c r="U139" s="251">
        <v>-93693</v>
      </c>
      <c r="V139" s="252">
        <v>0.67476000000000003</v>
      </c>
    </row>
    <row r="140" spans="1:22" x14ac:dyDescent="0.2">
      <c r="A140" s="409" t="s">
        <v>5</v>
      </c>
      <c r="B140" s="344">
        <f>S99</f>
        <v>134296</v>
      </c>
      <c r="C140" s="345">
        <f t="shared" si="14"/>
        <v>0.53718399999999999</v>
      </c>
      <c r="D140" s="392">
        <v>210000</v>
      </c>
      <c r="E140" s="392">
        <v>250000</v>
      </c>
      <c r="F140" s="392" t="s">
        <v>403</v>
      </c>
      <c r="G140" s="344" t="e">
        <f t="shared" si="13"/>
        <v>#VALUE!</v>
      </c>
      <c r="H140" s="358" t="e">
        <f>G140/E140</f>
        <v>#VALUE!</v>
      </c>
      <c r="I140" s="360" t="s">
        <v>402</v>
      </c>
      <c r="L140" s="250"/>
      <c r="M140" s="250"/>
      <c r="N140" s="250"/>
      <c r="O140" s="250" t="s">
        <v>46</v>
      </c>
      <c r="P140" s="250"/>
      <c r="Q140" s="250"/>
      <c r="R140" s="250"/>
      <c r="S140" s="251"/>
      <c r="T140" s="251"/>
      <c r="U140" s="251"/>
      <c r="V140" s="252"/>
    </row>
    <row r="141" spans="1:22" x14ac:dyDescent="0.2">
      <c r="A141" s="409" t="s">
        <v>352</v>
      </c>
      <c r="B141" s="344"/>
      <c r="C141" s="345"/>
      <c r="D141" s="392"/>
      <c r="E141" s="392"/>
      <c r="F141" s="392">
        <f>-F146</f>
        <v>6203935.75</v>
      </c>
      <c r="G141" s="344"/>
      <c r="H141" s="349"/>
      <c r="I141" s="350"/>
      <c r="L141" s="250"/>
      <c r="M141" s="250"/>
      <c r="N141" s="250"/>
      <c r="O141" s="250"/>
      <c r="P141" s="250"/>
      <c r="Q141" s="250"/>
      <c r="R141" s="250"/>
      <c r="S141" s="251"/>
      <c r="T141" s="251"/>
      <c r="U141" s="251"/>
      <c r="V141" s="252"/>
    </row>
    <row r="142" spans="1:22" x14ac:dyDescent="0.2">
      <c r="A142" s="409" t="s">
        <v>404</v>
      </c>
      <c r="B142" s="356"/>
      <c r="C142" s="356"/>
      <c r="D142" s="392"/>
      <c r="E142" s="392"/>
      <c r="F142" s="392"/>
      <c r="G142" s="356"/>
      <c r="H142" s="356"/>
      <c r="I142" s="350"/>
    </row>
    <row r="143" spans="1:22" ht="13.5" thickBot="1" x14ac:dyDescent="0.25">
      <c r="A143" s="409" t="s">
        <v>11</v>
      </c>
      <c r="B143" s="344">
        <f>3456*6</f>
        <v>20736</v>
      </c>
      <c r="C143" s="345">
        <f t="shared" si="14"/>
        <v>0.6</v>
      </c>
      <c r="D143" s="392">
        <f>B143+3456</f>
        <v>24192</v>
      </c>
      <c r="E143" s="392">
        <v>34560</v>
      </c>
      <c r="F143" s="392">
        <f>5*3456</f>
        <v>17280</v>
      </c>
      <c r="G143" s="344">
        <f t="shared" si="13"/>
        <v>-17280</v>
      </c>
      <c r="H143" s="397">
        <f>G143/E143</f>
        <v>-0.5</v>
      </c>
      <c r="I143" s="350"/>
      <c r="L143" s="250"/>
      <c r="M143" s="250"/>
      <c r="N143" s="250"/>
      <c r="O143" s="250"/>
      <c r="P143" s="250"/>
      <c r="Q143" s="250" t="s">
        <v>45</v>
      </c>
      <c r="R143" s="250"/>
      <c r="S143" s="251">
        <v>544</v>
      </c>
      <c r="T143" s="251">
        <v>1530</v>
      </c>
      <c r="U143" s="251">
        <v>-986</v>
      </c>
      <c r="V143" s="252">
        <v>0.35555999999999999</v>
      </c>
    </row>
    <row r="144" spans="1:22" ht="17.25" thickTop="1" thickBot="1" x14ac:dyDescent="0.3">
      <c r="A144" s="399" t="s">
        <v>8</v>
      </c>
      <c r="B144" s="344">
        <f>SUM(B140:B143)</f>
        <v>155032</v>
      </c>
      <c r="C144" s="345">
        <f t="shared" si="14"/>
        <v>0.19760375242173958</v>
      </c>
      <c r="D144" s="405">
        <f>SUM(D140:D143)</f>
        <v>234192</v>
      </c>
      <c r="E144" s="405">
        <v>784560</v>
      </c>
      <c r="F144" s="405">
        <f>SUM(F139:F143)</f>
        <v>6221215.75</v>
      </c>
      <c r="G144" s="402">
        <f t="shared" si="13"/>
        <v>5436655.75</v>
      </c>
      <c r="H144" s="391">
        <f>G144/E144</f>
        <v>6.9295601993474047</v>
      </c>
      <c r="I144" s="350"/>
      <c r="L144" s="250"/>
      <c r="M144" s="250"/>
      <c r="N144" s="250"/>
      <c r="O144" s="250"/>
      <c r="P144" s="250"/>
      <c r="Q144" s="250" t="s">
        <v>33</v>
      </c>
      <c r="R144" s="250"/>
      <c r="S144" s="251">
        <v>187</v>
      </c>
      <c r="T144" s="251">
        <v>1224</v>
      </c>
      <c r="U144" s="251">
        <v>-1037</v>
      </c>
      <c r="V144" s="252">
        <v>0.15278</v>
      </c>
    </row>
    <row r="145" spans="1:22" ht="16.5" thickBot="1" x14ac:dyDescent="0.3">
      <c r="A145" s="410" t="s">
        <v>58</v>
      </c>
      <c r="B145" s="411">
        <f>B137-B144</f>
        <v>-19662</v>
      </c>
      <c r="C145" s="371"/>
      <c r="D145" s="412">
        <f>D137-D144</f>
        <v>-64029.369999999995</v>
      </c>
      <c r="E145" s="412">
        <v>0</v>
      </c>
      <c r="F145" s="413">
        <f>F137-F144</f>
        <v>-5927995.75</v>
      </c>
      <c r="G145" s="411">
        <f>F145-E145</f>
        <v>-5927995.75</v>
      </c>
      <c r="H145" s="414" t="e">
        <f>G145/E145</f>
        <v>#DIV/0!</v>
      </c>
      <c r="I145" s="375" t="s">
        <v>408</v>
      </c>
      <c r="L145" s="250"/>
      <c r="M145" s="250"/>
      <c r="N145" s="250"/>
      <c r="O145" s="250"/>
      <c r="P145" s="250"/>
      <c r="Q145" s="250"/>
      <c r="R145" s="250"/>
      <c r="S145" s="251"/>
      <c r="T145" s="251"/>
      <c r="U145" s="251"/>
      <c r="V145" s="252"/>
    </row>
    <row r="146" spans="1:22" ht="15.75" x14ac:dyDescent="0.25">
      <c r="A146" s="403" t="s">
        <v>397</v>
      </c>
      <c r="B146" s="344"/>
      <c r="C146" s="345"/>
      <c r="D146" s="356"/>
      <c r="E146" s="405"/>
      <c r="F146" s="405">
        <f>-SUM(I80:I105)</f>
        <v>-6203935.75</v>
      </c>
      <c r="G146" s="356"/>
      <c r="H146" s="356"/>
      <c r="I146" s="359" t="s">
        <v>414</v>
      </c>
      <c r="L146" s="250"/>
      <c r="M146" s="250"/>
      <c r="N146" s="250"/>
      <c r="O146" s="250"/>
      <c r="P146" s="250"/>
      <c r="Q146" s="250"/>
      <c r="R146" s="250"/>
      <c r="S146" s="251"/>
      <c r="T146" s="251"/>
      <c r="U146" s="251"/>
      <c r="V146" s="252"/>
    </row>
  </sheetData>
  <mergeCells count="8">
    <mergeCell ref="A129:I129"/>
    <mergeCell ref="A128:I128"/>
    <mergeCell ref="A113:I113"/>
    <mergeCell ref="A114:I114"/>
    <mergeCell ref="A1:I1"/>
    <mergeCell ref="A2:I2"/>
    <mergeCell ref="A3:I3"/>
    <mergeCell ref="A4:I4"/>
  </mergeCells>
  <pageMargins left="0.4" right="0.2" top="0.6" bottom="0.5" header="0.3" footer="0.3"/>
  <pageSetup paperSize="17" scale="76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J219"/>
  <sheetViews>
    <sheetView showGridLines="0" zoomScale="130" zoomScaleNormal="130" workbookViewId="0">
      <pane ySplit="7" topLeftCell="A8" activePane="bottomLeft" state="frozenSplit"/>
      <selection pane="bottomLeft" activeCell="A63" sqref="A63:E80"/>
    </sheetView>
  </sheetViews>
  <sheetFormatPr defaultRowHeight="15" x14ac:dyDescent="0.25"/>
  <cols>
    <col min="1" max="1" width="55" customWidth="1"/>
    <col min="2" max="2" width="12.7109375" hidden="1" customWidth="1"/>
    <col min="3" max="3" width="14.7109375" customWidth="1"/>
    <col min="4" max="4" width="15.28515625" customWidth="1"/>
    <col min="5" max="5" width="14.5703125" customWidth="1"/>
    <col min="6" max="6" width="16.28515625" hidden="1" customWidth="1"/>
    <col min="7" max="7" width="14" hidden="1" customWidth="1"/>
    <col min="8" max="8" width="10.85546875" hidden="1" customWidth="1"/>
    <col min="9" max="9" width="4.7109375" customWidth="1"/>
    <col min="10" max="10" width="13.5703125" customWidth="1"/>
    <col min="11" max="11" width="18" customWidth="1"/>
    <col min="12" max="14" width="7.5703125" customWidth="1"/>
    <col min="15" max="17" width="9.140625" customWidth="1"/>
    <col min="18" max="18" width="31" customWidth="1"/>
    <col min="19" max="23" width="9.140625" customWidth="1"/>
    <col min="24" max="24" width="3.5703125" style="132" customWidth="1"/>
    <col min="25" max="26" width="3.5703125" customWidth="1"/>
    <col min="27" max="27" width="4.28515625" customWidth="1"/>
    <col min="28" max="28" width="4.7109375" customWidth="1"/>
    <col min="29" max="30" width="9.140625" customWidth="1"/>
    <col min="31" max="31" width="22.5703125" customWidth="1"/>
    <col min="32" max="36" width="9.140625" customWidth="1"/>
  </cols>
  <sheetData>
    <row r="1" spans="1:36" ht="18.75" thickBot="1" x14ac:dyDescent="0.3">
      <c r="A1" s="715" t="s">
        <v>32</v>
      </c>
      <c r="B1" s="716"/>
      <c r="C1" s="716"/>
      <c r="D1" s="716"/>
      <c r="E1" s="716"/>
      <c r="F1" s="716"/>
      <c r="G1" s="716"/>
      <c r="H1" s="717"/>
      <c r="J1" s="130" t="s">
        <v>224</v>
      </c>
      <c r="K1" s="131">
        <v>1.4999999999999999E-2</v>
      </c>
      <c r="L1" s="250"/>
      <c r="M1" s="250"/>
      <c r="N1" s="250"/>
      <c r="O1" s="250"/>
      <c r="P1" s="250"/>
      <c r="Q1" s="250"/>
      <c r="R1" s="250"/>
      <c r="S1" s="235"/>
      <c r="T1" s="235"/>
      <c r="U1" s="235"/>
      <c r="V1" s="235"/>
      <c r="Y1" s="250"/>
      <c r="Z1" s="250"/>
      <c r="AA1" s="250"/>
      <c r="AB1" s="250"/>
      <c r="AC1" s="250"/>
      <c r="AD1" s="250"/>
      <c r="AE1" s="250"/>
      <c r="AF1" s="250"/>
      <c r="AG1" s="235"/>
      <c r="AH1" s="235"/>
      <c r="AI1" s="235"/>
      <c r="AJ1" s="235"/>
    </row>
    <row r="2" spans="1:36" ht="24.75" thickTop="1" thickBot="1" x14ac:dyDescent="0.4">
      <c r="A2" s="718" t="s">
        <v>92</v>
      </c>
      <c r="B2" s="719"/>
      <c r="C2" s="719"/>
      <c r="D2" s="719"/>
      <c r="E2" s="719"/>
      <c r="F2" s="719"/>
      <c r="G2" s="719"/>
      <c r="H2" s="720"/>
      <c r="J2" s="130" t="s">
        <v>90</v>
      </c>
      <c r="K2" s="146">
        <f>K3*K1</f>
        <v>165000</v>
      </c>
      <c r="L2" s="261"/>
      <c r="M2" s="261"/>
      <c r="N2" s="261"/>
      <c r="O2" s="261"/>
      <c r="P2" s="261"/>
      <c r="Q2" s="261"/>
      <c r="R2" s="261"/>
      <c r="S2" s="262" t="s">
        <v>227</v>
      </c>
      <c r="T2" s="262" t="s">
        <v>12</v>
      </c>
      <c r="U2" s="262" t="s">
        <v>95</v>
      </c>
      <c r="V2" s="262" t="s">
        <v>69</v>
      </c>
      <c r="X2" s="166"/>
      <c r="Y2" s="261"/>
      <c r="Z2" s="261"/>
      <c r="AA2" s="261"/>
      <c r="AB2" s="261"/>
      <c r="AC2" s="261"/>
      <c r="AD2" s="261"/>
      <c r="AE2" s="261"/>
      <c r="AF2" s="261"/>
      <c r="AG2" s="262" t="s">
        <v>241</v>
      </c>
      <c r="AH2" s="262" t="s">
        <v>12</v>
      </c>
      <c r="AI2" s="262" t="s">
        <v>95</v>
      </c>
      <c r="AJ2" s="262" t="s">
        <v>69</v>
      </c>
    </row>
    <row r="3" spans="1:36" ht="21" thickTop="1" x14ac:dyDescent="0.3">
      <c r="A3" s="721" t="s">
        <v>243</v>
      </c>
      <c r="B3" s="722"/>
      <c r="C3" s="722"/>
      <c r="D3" s="722"/>
      <c r="E3" s="723"/>
      <c r="F3" s="723"/>
      <c r="G3" s="723"/>
      <c r="H3" s="724"/>
      <c r="J3" s="130" t="s">
        <v>89</v>
      </c>
      <c r="K3" s="146">
        <v>11000000</v>
      </c>
      <c r="L3" s="250" t="s">
        <v>96</v>
      </c>
      <c r="M3" s="250"/>
      <c r="N3" s="250"/>
      <c r="O3" s="250"/>
      <c r="P3" s="250"/>
      <c r="Q3" s="250"/>
      <c r="R3" s="250"/>
      <c r="S3" s="236"/>
      <c r="T3" s="236"/>
      <c r="U3" s="236"/>
      <c r="V3" s="237"/>
      <c r="X3" s="165"/>
      <c r="Y3" s="250"/>
      <c r="Z3" s="250" t="s">
        <v>96</v>
      </c>
      <c r="AA3" s="250"/>
      <c r="AB3" s="250"/>
      <c r="AC3" s="250"/>
      <c r="AD3" s="250"/>
      <c r="AE3" s="250"/>
      <c r="AF3" s="250"/>
      <c r="AG3" s="236"/>
      <c r="AH3" s="236"/>
      <c r="AI3" s="236"/>
      <c r="AJ3" s="237"/>
    </row>
    <row r="4" spans="1:36" ht="17.25" x14ac:dyDescent="0.25">
      <c r="A4" s="725" t="s">
        <v>228</v>
      </c>
      <c r="B4" s="726"/>
      <c r="C4" s="726"/>
      <c r="D4" s="726"/>
      <c r="E4" s="727"/>
      <c r="F4" s="727"/>
      <c r="G4" s="727"/>
      <c r="H4" s="728"/>
      <c r="J4" s="145" t="s">
        <v>221</v>
      </c>
      <c r="K4" s="147">
        <f>PMT(K1,30,K3)</f>
        <v>-458031.07087683521</v>
      </c>
      <c r="L4" s="250"/>
      <c r="M4" s="250"/>
      <c r="N4" s="250" t="s">
        <v>74</v>
      </c>
      <c r="O4" s="250"/>
      <c r="P4" s="250"/>
      <c r="Q4" s="250"/>
      <c r="R4" s="250"/>
      <c r="S4" s="236"/>
      <c r="T4" s="236"/>
      <c r="U4" s="236"/>
      <c r="V4" s="237"/>
      <c r="X4" s="165"/>
      <c r="Y4" s="250"/>
      <c r="Z4" s="250"/>
      <c r="AA4" s="250"/>
      <c r="AB4" s="250" t="s">
        <v>74</v>
      </c>
      <c r="AC4" s="250"/>
      <c r="AD4" s="250"/>
      <c r="AE4" s="250"/>
      <c r="AF4" s="250"/>
      <c r="AG4" s="236"/>
      <c r="AH4" s="236"/>
      <c r="AI4" s="236"/>
      <c r="AJ4" s="237"/>
    </row>
    <row r="5" spans="1:36" ht="17.25" x14ac:dyDescent="0.25">
      <c r="A5" s="219"/>
      <c r="D5" s="23"/>
      <c r="E5" s="248">
        <f>727000-E8</f>
        <v>27000</v>
      </c>
      <c r="F5" s="23"/>
      <c r="G5" s="8"/>
      <c r="H5" s="96"/>
      <c r="J5" s="145" t="s">
        <v>222</v>
      </c>
      <c r="K5" s="147">
        <f>50*5600</f>
        <v>280000</v>
      </c>
      <c r="L5" s="250"/>
      <c r="M5" s="250"/>
      <c r="N5" s="250"/>
      <c r="O5" s="250" t="s">
        <v>97</v>
      </c>
      <c r="P5" s="250"/>
      <c r="Q5" s="250"/>
      <c r="R5" s="250"/>
      <c r="S5" s="236">
        <v>11200</v>
      </c>
      <c r="T5" s="236"/>
      <c r="U5" s="236"/>
      <c r="V5" s="237"/>
      <c r="X5" s="165"/>
      <c r="Y5" s="250"/>
      <c r="Z5" s="250"/>
      <c r="AA5" s="250"/>
      <c r="AB5" s="250"/>
      <c r="AC5" s="250" t="s">
        <v>97</v>
      </c>
      <c r="AD5" s="250"/>
      <c r="AE5" s="250"/>
      <c r="AF5" s="250"/>
      <c r="AG5" s="236">
        <v>11200</v>
      </c>
      <c r="AH5" s="236"/>
      <c r="AI5" s="236"/>
      <c r="AJ5" s="237"/>
    </row>
    <row r="6" spans="1:36" ht="26.25" x14ac:dyDescent="0.25">
      <c r="A6" s="219"/>
      <c r="B6" s="220" t="s">
        <v>242</v>
      </c>
      <c r="C6" s="212" t="s">
        <v>77</v>
      </c>
      <c r="D6" s="108" t="s">
        <v>12</v>
      </c>
      <c r="E6" s="108" t="s">
        <v>12</v>
      </c>
      <c r="F6" s="9" t="s">
        <v>0</v>
      </c>
      <c r="G6" s="7" t="s">
        <v>9</v>
      </c>
      <c r="H6" s="221" t="s">
        <v>230</v>
      </c>
      <c r="J6" s="145" t="s">
        <v>236</v>
      </c>
      <c r="K6" s="106">
        <f>K5+K4</f>
        <v>-178031.07087683521</v>
      </c>
      <c r="L6" s="250"/>
      <c r="M6" s="250"/>
      <c r="N6" s="250"/>
      <c r="O6" s="250" t="s">
        <v>98</v>
      </c>
      <c r="P6" s="250"/>
      <c r="Q6" s="250"/>
      <c r="R6" s="250"/>
      <c r="S6" s="236">
        <v>7925</v>
      </c>
      <c r="T6" s="236"/>
      <c r="U6" s="236"/>
      <c r="V6" s="237"/>
      <c r="X6" s="165"/>
      <c r="Y6" s="250"/>
      <c r="Z6" s="250"/>
      <c r="AA6" s="250"/>
      <c r="AB6" s="250"/>
      <c r="AC6" s="250" t="s">
        <v>98</v>
      </c>
      <c r="AD6" s="250"/>
      <c r="AE6" s="250"/>
      <c r="AF6" s="250"/>
      <c r="AG6" s="236">
        <v>7925</v>
      </c>
      <c r="AH6" s="236"/>
      <c r="AI6" s="236"/>
      <c r="AJ6" s="237"/>
    </row>
    <row r="7" spans="1:36" ht="15.75" x14ac:dyDescent="0.25">
      <c r="A7" s="222" t="s">
        <v>26</v>
      </c>
      <c r="B7" s="201"/>
      <c r="C7" s="202" t="s">
        <v>82</v>
      </c>
      <c r="D7" s="202" t="s">
        <v>82</v>
      </c>
      <c r="E7" s="203" t="s">
        <v>93</v>
      </c>
      <c r="F7" s="278"/>
      <c r="G7" s="279"/>
      <c r="H7" s="223" t="s">
        <v>229</v>
      </c>
      <c r="J7" s="145" t="s">
        <v>235</v>
      </c>
      <c r="K7" s="148">
        <f>E64</f>
        <v>0</v>
      </c>
      <c r="L7" s="250"/>
      <c r="M7" s="250"/>
      <c r="N7" s="250"/>
      <c r="O7" s="250" t="s">
        <v>99</v>
      </c>
      <c r="P7" s="250"/>
      <c r="Q7" s="250"/>
      <c r="R7" s="250"/>
      <c r="S7" s="236">
        <v>1100</v>
      </c>
      <c r="T7" s="236"/>
      <c r="U7" s="236"/>
      <c r="V7" s="237"/>
      <c r="X7" s="165"/>
      <c r="Y7" s="250"/>
      <c r="Z7" s="250"/>
      <c r="AA7" s="250"/>
      <c r="AB7" s="250"/>
      <c r="AC7" s="250" t="s">
        <v>99</v>
      </c>
      <c r="AD7" s="250"/>
      <c r="AE7" s="250"/>
      <c r="AF7" s="250"/>
      <c r="AG7" s="236">
        <v>1100</v>
      </c>
      <c r="AH7" s="236"/>
      <c r="AI7" s="236"/>
      <c r="AJ7" s="237"/>
    </row>
    <row r="8" spans="1:36" x14ac:dyDescent="0.25">
      <c r="A8" s="15" t="s">
        <v>17</v>
      </c>
      <c r="B8" s="115">
        <f>AG8</f>
        <v>487525.29</v>
      </c>
      <c r="C8" s="125">
        <f>D8</f>
        <v>628320</v>
      </c>
      <c r="D8" s="125">
        <v>628320</v>
      </c>
      <c r="E8" s="420">
        <v>700000</v>
      </c>
      <c r="F8" s="115">
        <f t="shared" ref="F8:F15" si="0">E8-D8</f>
        <v>71680</v>
      </c>
      <c r="G8" s="11">
        <f t="shared" ref="G8:G16" si="1">F8/D8</f>
        <v>0.1140819964349376</v>
      </c>
      <c r="H8" s="224"/>
      <c r="J8" s="112" t="s">
        <v>234</v>
      </c>
      <c r="K8" s="148">
        <f>K7+K6</f>
        <v>-178031.07087683521</v>
      </c>
      <c r="L8" s="250"/>
      <c r="M8" s="250"/>
      <c r="N8" s="250"/>
      <c r="O8" s="250"/>
      <c r="P8" s="250"/>
      <c r="Q8" s="250"/>
      <c r="R8" s="250"/>
      <c r="S8" s="236"/>
      <c r="T8" s="236"/>
      <c r="U8" s="236"/>
      <c r="V8" s="237"/>
      <c r="X8" s="165"/>
      <c r="Y8" s="250"/>
      <c r="Z8" s="250"/>
      <c r="AA8" s="250"/>
      <c r="AB8" s="250"/>
      <c r="AC8" s="250" t="s">
        <v>100</v>
      </c>
      <c r="AD8" s="250"/>
      <c r="AE8" s="250"/>
      <c r="AF8" s="250"/>
      <c r="AG8" s="236">
        <v>487525.29</v>
      </c>
      <c r="AH8" s="236">
        <v>523600</v>
      </c>
      <c r="AI8" s="236">
        <v>-36074.71</v>
      </c>
      <c r="AJ8" s="237">
        <v>0.93110000000000004</v>
      </c>
    </row>
    <row r="9" spans="1:36" x14ac:dyDescent="0.25">
      <c r="A9" s="15" t="s">
        <v>16</v>
      </c>
      <c r="B9" s="115">
        <f>AG9</f>
        <v>3853.97</v>
      </c>
      <c r="C9" s="125">
        <f>B9*1.17</f>
        <v>4509.1448999999993</v>
      </c>
      <c r="D9" s="125">
        <v>950</v>
      </c>
      <c r="E9" s="420">
        <v>3500</v>
      </c>
      <c r="F9" s="115">
        <f t="shared" si="0"/>
        <v>2550</v>
      </c>
      <c r="G9" s="11">
        <f t="shared" si="1"/>
        <v>2.6842105263157894</v>
      </c>
      <c r="H9" s="224"/>
      <c r="I9" s="2"/>
      <c r="L9" s="250"/>
      <c r="M9" s="250"/>
      <c r="N9" s="250"/>
      <c r="O9" s="250" t="s">
        <v>100</v>
      </c>
      <c r="P9" s="250"/>
      <c r="Q9" s="250"/>
      <c r="R9" s="250"/>
      <c r="S9" s="236">
        <v>435453.69</v>
      </c>
      <c r="T9" s="236">
        <v>471240</v>
      </c>
      <c r="U9" s="236">
        <v>-35786.31</v>
      </c>
      <c r="V9" s="237">
        <v>0.92405999999999999</v>
      </c>
      <c r="X9" s="165"/>
      <c r="Y9" s="250"/>
      <c r="Z9" s="250"/>
      <c r="AA9" s="250"/>
      <c r="AB9" s="250"/>
      <c r="AC9" s="250" t="s">
        <v>101</v>
      </c>
      <c r="AD9" s="250"/>
      <c r="AE9" s="250"/>
      <c r="AF9" s="250"/>
      <c r="AG9" s="236">
        <v>3853.97</v>
      </c>
      <c r="AH9" s="236">
        <v>791.66</v>
      </c>
      <c r="AI9" s="236">
        <v>3062.31</v>
      </c>
      <c r="AJ9" s="237">
        <v>4.8682100000000004</v>
      </c>
    </row>
    <row r="10" spans="1:36" x14ac:dyDescent="0.25">
      <c r="A10" s="109" t="s">
        <v>94</v>
      </c>
      <c r="B10" s="115">
        <f>SUM(AG5:AG7)+AG10</f>
        <v>23575</v>
      </c>
      <c r="C10" s="125">
        <f>B10*1.1</f>
        <v>25932.500000000004</v>
      </c>
      <c r="D10" s="125">
        <v>9500</v>
      </c>
      <c r="E10" s="420">
        <v>85000</v>
      </c>
      <c r="F10" s="115">
        <f t="shared" si="0"/>
        <v>75500</v>
      </c>
      <c r="G10" s="11">
        <f t="shared" si="1"/>
        <v>7.9473684210526319</v>
      </c>
      <c r="H10" s="224"/>
      <c r="I10" s="2"/>
      <c r="L10" s="250"/>
      <c r="M10" s="250"/>
      <c r="N10" s="250"/>
      <c r="O10" s="250" t="s">
        <v>101</v>
      </c>
      <c r="P10" s="250"/>
      <c r="Q10" s="250"/>
      <c r="R10" s="250"/>
      <c r="S10" s="236">
        <v>3326.61</v>
      </c>
      <c r="T10" s="236">
        <v>712.49</v>
      </c>
      <c r="U10" s="236">
        <v>2614.12</v>
      </c>
      <c r="V10" s="237">
        <v>4.66899</v>
      </c>
      <c r="X10" s="165"/>
      <c r="Y10" s="250"/>
      <c r="Z10" s="250"/>
      <c r="AA10" s="250"/>
      <c r="AB10" s="250"/>
      <c r="AC10" s="250" t="s">
        <v>102</v>
      </c>
      <c r="AD10" s="250"/>
      <c r="AE10" s="250"/>
      <c r="AF10" s="250"/>
      <c r="AG10" s="236">
        <v>3350</v>
      </c>
      <c r="AH10" s="236">
        <v>8900</v>
      </c>
      <c r="AI10" s="236">
        <v>-5550</v>
      </c>
      <c r="AJ10" s="237">
        <v>0.37640000000000001</v>
      </c>
    </row>
    <row r="11" spans="1:36" x14ac:dyDescent="0.25">
      <c r="A11" s="15" t="s">
        <v>15</v>
      </c>
      <c r="B11" s="115">
        <f>AG13</f>
        <v>10398.51</v>
      </c>
      <c r="C11" s="125">
        <f>D11</f>
        <v>54060</v>
      </c>
      <c r="D11" s="125">
        <v>54060</v>
      </c>
      <c r="E11" s="420">
        <f>D11</f>
        <v>54060</v>
      </c>
      <c r="F11" s="115">
        <f t="shared" si="0"/>
        <v>0</v>
      </c>
      <c r="G11" s="11">
        <f t="shared" si="1"/>
        <v>0</v>
      </c>
      <c r="H11" s="224"/>
      <c r="J11" s="150" t="s">
        <v>91</v>
      </c>
      <c r="K11" s="2"/>
      <c r="L11" s="250"/>
      <c r="M11" s="250"/>
      <c r="N11" s="250"/>
      <c r="O11" s="250" t="s">
        <v>102</v>
      </c>
      <c r="P11" s="250"/>
      <c r="Q11" s="250"/>
      <c r="R11" s="250"/>
      <c r="S11" s="236">
        <v>2850</v>
      </c>
      <c r="T11" s="236">
        <v>7900</v>
      </c>
      <c r="U11" s="236">
        <v>-5050</v>
      </c>
      <c r="V11" s="237">
        <v>0.36076000000000003</v>
      </c>
      <c r="X11" s="165"/>
      <c r="Y11" s="250"/>
      <c r="Z11" s="250"/>
      <c r="AA11" s="250"/>
      <c r="AB11" s="250"/>
      <c r="AC11" s="250" t="s">
        <v>103</v>
      </c>
      <c r="AD11" s="250"/>
      <c r="AE11" s="250"/>
      <c r="AF11" s="250"/>
      <c r="AG11" s="236">
        <v>371</v>
      </c>
      <c r="AH11" s="236">
        <v>785</v>
      </c>
      <c r="AI11" s="236">
        <v>-414</v>
      </c>
      <c r="AJ11" s="237">
        <v>0.47260999999999997</v>
      </c>
    </row>
    <row r="12" spans="1:36" x14ac:dyDescent="0.25">
      <c r="A12" s="15" t="s">
        <v>19</v>
      </c>
      <c r="B12" s="115">
        <f>S15</f>
        <v>3211.15</v>
      </c>
      <c r="C12" s="125">
        <f>B12</f>
        <v>3211.15</v>
      </c>
      <c r="D12" s="125">
        <v>3000</v>
      </c>
      <c r="E12" s="420">
        <f>D12</f>
        <v>3000</v>
      </c>
      <c r="F12" s="115">
        <f t="shared" si="0"/>
        <v>0</v>
      </c>
      <c r="G12" s="11">
        <f t="shared" si="1"/>
        <v>0</v>
      </c>
      <c r="H12" s="224"/>
      <c r="J12" s="149">
        <f>D8/12</f>
        <v>52360</v>
      </c>
      <c r="K12" s="2"/>
      <c r="L12" s="250"/>
      <c r="M12" s="250"/>
      <c r="N12" s="250"/>
      <c r="O12" s="250" t="s">
        <v>103</v>
      </c>
      <c r="P12" s="250"/>
      <c r="Q12" s="250"/>
      <c r="R12" s="250"/>
      <c r="S12" s="236">
        <v>335</v>
      </c>
      <c r="T12" s="236">
        <v>661</v>
      </c>
      <c r="U12" s="236">
        <v>-326</v>
      </c>
      <c r="V12" s="237">
        <v>0.50680999999999998</v>
      </c>
      <c r="X12" s="165"/>
      <c r="Y12" s="250"/>
      <c r="Z12" s="250"/>
      <c r="AA12" s="250"/>
      <c r="AB12" s="250"/>
      <c r="AC12" s="250" t="s">
        <v>104</v>
      </c>
      <c r="AD12" s="250"/>
      <c r="AE12" s="250"/>
      <c r="AF12" s="250"/>
      <c r="AG12" s="236"/>
      <c r="AH12" s="236"/>
      <c r="AI12" s="236"/>
      <c r="AJ12" s="237"/>
    </row>
    <row r="13" spans="1:36" x14ac:dyDescent="0.25">
      <c r="A13" s="15" t="s">
        <v>21</v>
      </c>
      <c r="B13" s="115">
        <f>AG15</f>
        <v>3179.89</v>
      </c>
      <c r="C13" s="125">
        <f>B13*1.17</f>
        <v>3720.4712999999997</v>
      </c>
      <c r="D13" s="125">
        <v>5900</v>
      </c>
      <c r="E13" s="420">
        <f>D13</f>
        <v>5900</v>
      </c>
      <c r="F13" s="115">
        <f t="shared" si="0"/>
        <v>0</v>
      </c>
      <c r="G13" s="11">
        <f t="shared" si="1"/>
        <v>0</v>
      </c>
      <c r="H13" s="224"/>
      <c r="I13" s="2"/>
      <c r="J13" s="2"/>
      <c r="K13" s="2"/>
      <c r="L13" s="250"/>
      <c r="M13" s="250"/>
      <c r="N13" s="250"/>
      <c r="O13" s="250" t="s">
        <v>104</v>
      </c>
      <c r="P13" s="250"/>
      <c r="Q13" s="250"/>
      <c r="R13" s="250"/>
      <c r="S13" s="236"/>
      <c r="T13" s="236"/>
      <c r="U13" s="236"/>
      <c r="V13" s="237"/>
      <c r="X13" s="165"/>
      <c r="Y13" s="250"/>
      <c r="Z13" s="250"/>
      <c r="AA13" s="250"/>
      <c r="AB13" s="250"/>
      <c r="AC13" s="250"/>
      <c r="AD13" s="250" t="s">
        <v>105</v>
      </c>
      <c r="AE13" s="250"/>
      <c r="AF13" s="250"/>
      <c r="AG13" s="236">
        <v>10398.51</v>
      </c>
      <c r="AH13" s="236">
        <v>4109.8100000000004</v>
      </c>
      <c r="AI13" s="236">
        <v>6288.7</v>
      </c>
      <c r="AJ13" s="237">
        <v>2.53017</v>
      </c>
    </row>
    <row r="14" spans="1:36" x14ac:dyDescent="0.25">
      <c r="A14" s="15" t="s">
        <v>72</v>
      </c>
      <c r="B14" s="115">
        <f>S12+AG16</f>
        <v>424.32</v>
      </c>
      <c r="C14" s="125">
        <v>500</v>
      </c>
      <c r="D14" s="125">
        <v>1000</v>
      </c>
      <c r="E14" s="420">
        <v>225000</v>
      </c>
      <c r="F14" s="115">
        <f t="shared" si="0"/>
        <v>224000</v>
      </c>
      <c r="G14" s="11">
        <f t="shared" si="1"/>
        <v>224</v>
      </c>
      <c r="H14" s="224"/>
      <c r="I14" s="2"/>
      <c r="J14" s="2"/>
      <c r="K14" s="2"/>
      <c r="L14" s="250"/>
      <c r="M14" s="250"/>
      <c r="N14" s="250"/>
      <c r="O14" s="250"/>
      <c r="P14" s="250" t="s">
        <v>105</v>
      </c>
      <c r="Q14" s="250"/>
      <c r="R14" s="250"/>
      <c r="S14" s="236">
        <v>10398.51</v>
      </c>
      <c r="T14" s="236">
        <v>4108.09</v>
      </c>
      <c r="U14" s="236">
        <v>6290.42</v>
      </c>
      <c r="V14" s="237">
        <v>2.5312299999999999</v>
      </c>
      <c r="X14" s="165"/>
      <c r="Y14" s="250"/>
      <c r="Z14" s="250"/>
      <c r="AA14" s="250"/>
      <c r="AB14" s="250"/>
      <c r="AC14" s="250"/>
      <c r="AD14" s="250" t="s">
        <v>106</v>
      </c>
      <c r="AE14" s="250"/>
      <c r="AF14" s="250"/>
      <c r="AG14" s="236">
        <v>3211.15</v>
      </c>
      <c r="AH14" s="236">
        <v>2965.81</v>
      </c>
      <c r="AI14" s="236">
        <v>245.34</v>
      </c>
      <c r="AJ14" s="237">
        <v>1.0827199999999999</v>
      </c>
    </row>
    <row r="15" spans="1:36" x14ac:dyDescent="0.25">
      <c r="A15" s="109" t="s">
        <v>83</v>
      </c>
      <c r="B15" s="115">
        <f>AG23</f>
        <v>20798.150000000001</v>
      </c>
      <c r="C15" s="125">
        <f>B15*1.17</f>
        <v>24333.835500000001</v>
      </c>
      <c r="D15" s="125">
        <v>45000</v>
      </c>
      <c r="E15" s="420">
        <v>8900</v>
      </c>
      <c r="F15" s="115">
        <f t="shared" si="0"/>
        <v>-36100</v>
      </c>
      <c r="G15" s="11">
        <f t="shared" si="1"/>
        <v>-0.80222222222222217</v>
      </c>
      <c r="H15" s="224"/>
      <c r="I15" s="2"/>
      <c r="J15" s="2"/>
      <c r="K15" s="2"/>
      <c r="L15" s="250"/>
      <c r="M15" s="250"/>
      <c r="N15" s="250"/>
      <c r="O15" s="250"/>
      <c r="P15" s="250" t="s">
        <v>106</v>
      </c>
      <c r="Q15" s="250"/>
      <c r="R15" s="250"/>
      <c r="S15" s="236">
        <v>3211.15</v>
      </c>
      <c r="T15" s="236">
        <v>2924.33</v>
      </c>
      <c r="U15" s="236">
        <v>286.82</v>
      </c>
      <c r="V15" s="237">
        <v>1.0980799999999999</v>
      </c>
      <c r="X15" s="165"/>
      <c r="Y15" s="250"/>
      <c r="Z15" s="250"/>
      <c r="AA15" s="250"/>
      <c r="AB15" s="250"/>
      <c r="AC15" s="250"/>
      <c r="AD15" s="250" t="s">
        <v>107</v>
      </c>
      <c r="AE15" s="250"/>
      <c r="AF15" s="250"/>
      <c r="AG15" s="236">
        <v>3179.89</v>
      </c>
      <c r="AH15" s="236">
        <v>4665</v>
      </c>
      <c r="AI15" s="236">
        <v>-1485.11</v>
      </c>
      <c r="AJ15" s="237">
        <v>0.68164999999999998</v>
      </c>
    </row>
    <row r="16" spans="1:36" ht="16.5" thickBot="1" x14ac:dyDescent="0.3">
      <c r="A16" s="225" t="s">
        <v>30</v>
      </c>
      <c r="B16" s="196">
        <f>SUM(B8:B15)</f>
        <v>552966.27999999991</v>
      </c>
      <c r="C16" s="197">
        <f>SUM(C8:C15)</f>
        <v>744587.1017</v>
      </c>
      <c r="D16" s="197">
        <v>747730</v>
      </c>
      <c r="E16" s="423">
        <f>SUM(E8:E15)</f>
        <v>1085360</v>
      </c>
      <c r="F16" s="199">
        <f>SUM(F8:F15)</f>
        <v>337630</v>
      </c>
      <c r="G16" s="200">
        <f t="shared" si="1"/>
        <v>0.45153999438299919</v>
      </c>
      <c r="H16" s="224"/>
      <c r="I16" s="2"/>
      <c r="J16" s="2"/>
      <c r="K16" s="2"/>
      <c r="L16" s="250"/>
      <c r="M16" s="250"/>
      <c r="N16" s="250"/>
      <c r="O16" s="250"/>
      <c r="P16" s="250" t="s">
        <v>107</v>
      </c>
      <c r="Q16" s="250"/>
      <c r="R16" s="250"/>
      <c r="S16" s="236">
        <v>3179.89</v>
      </c>
      <c r="T16" s="236">
        <v>4265</v>
      </c>
      <c r="U16" s="236">
        <v>-1085.1099999999999</v>
      </c>
      <c r="V16" s="237">
        <v>0.74558000000000002</v>
      </c>
      <c r="X16" s="165"/>
      <c r="Y16" s="250"/>
      <c r="Z16" s="250"/>
      <c r="AA16" s="250"/>
      <c r="AB16" s="250"/>
      <c r="AC16" s="250"/>
      <c r="AD16" s="250" t="s">
        <v>108</v>
      </c>
      <c r="AE16" s="250"/>
      <c r="AF16" s="250"/>
      <c r="AG16" s="238">
        <v>89.32</v>
      </c>
      <c r="AH16" s="238">
        <v>0</v>
      </c>
      <c r="AI16" s="238">
        <v>89.32</v>
      </c>
      <c r="AJ16" s="239">
        <v>1</v>
      </c>
    </row>
    <row r="17" spans="1:36" ht="15.75" thickBot="1" x14ac:dyDescent="0.3">
      <c r="A17" s="194"/>
      <c r="B17" s="115"/>
      <c r="C17" s="195"/>
      <c r="D17" s="195"/>
      <c r="E17" s="424"/>
      <c r="F17" s="139"/>
      <c r="G17" s="12"/>
      <c r="H17" s="224"/>
      <c r="I17" s="2"/>
      <c r="J17" s="2"/>
      <c r="K17" s="111"/>
      <c r="L17" s="250"/>
      <c r="M17" s="250"/>
      <c r="N17" s="250"/>
      <c r="O17" s="250"/>
      <c r="P17" s="250" t="s">
        <v>108</v>
      </c>
      <c r="Q17" s="250"/>
      <c r="R17" s="250"/>
      <c r="S17" s="238">
        <v>89.32</v>
      </c>
      <c r="T17" s="238">
        <v>0</v>
      </c>
      <c r="U17" s="238">
        <v>89.32</v>
      </c>
      <c r="V17" s="239">
        <v>1</v>
      </c>
      <c r="X17" s="165"/>
      <c r="Y17" s="250"/>
      <c r="Z17" s="250"/>
      <c r="AA17" s="250"/>
      <c r="AB17" s="250"/>
      <c r="AC17" s="250" t="s">
        <v>109</v>
      </c>
      <c r="AD17" s="250"/>
      <c r="AE17" s="250"/>
      <c r="AF17" s="250"/>
      <c r="AG17" s="236">
        <v>16878.87</v>
      </c>
      <c r="AH17" s="236">
        <v>11740.62</v>
      </c>
      <c r="AI17" s="236">
        <v>5138.25</v>
      </c>
      <c r="AJ17" s="237">
        <v>1.4376500000000001</v>
      </c>
    </row>
    <row r="18" spans="1:36" ht="16.5" thickBot="1" x14ac:dyDescent="0.3">
      <c r="A18" s="45" t="s">
        <v>55</v>
      </c>
      <c r="B18" s="115"/>
      <c r="C18" s="152" t="str">
        <f>C7</f>
        <v>2020</v>
      </c>
      <c r="D18" s="152" t="s">
        <v>82</v>
      </c>
      <c r="E18" s="418">
        <v>2022</v>
      </c>
      <c r="F18" s="168"/>
      <c r="G18" s="96"/>
      <c r="H18" s="224"/>
      <c r="I18" s="2"/>
      <c r="J18" s="2"/>
      <c r="K18" s="2"/>
      <c r="L18" s="250"/>
      <c r="M18" s="250"/>
      <c r="N18" s="250"/>
      <c r="O18" s="250" t="s">
        <v>109</v>
      </c>
      <c r="P18" s="250"/>
      <c r="Q18" s="250"/>
      <c r="R18" s="250"/>
      <c r="S18" s="236">
        <v>16878.87</v>
      </c>
      <c r="T18" s="236">
        <v>11297.42</v>
      </c>
      <c r="U18" s="236">
        <v>5581.45</v>
      </c>
      <c r="V18" s="237">
        <v>1.4940500000000001</v>
      </c>
      <c r="X18" s="165"/>
      <c r="Y18" s="250"/>
      <c r="Z18" s="250"/>
      <c r="AA18" s="250"/>
      <c r="AB18" s="250"/>
      <c r="AC18" s="250" t="s">
        <v>110</v>
      </c>
      <c r="AD18" s="250"/>
      <c r="AE18" s="250"/>
      <c r="AF18" s="250"/>
      <c r="AG18" s="236"/>
      <c r="AH18" s="236"/>
      <c r="AI18" s="236"/>
      <c r="AJ18" s="237"/>
    </row>
    <row r="19" spans="1:36" ht="15.75" thickBot="1" x14ac:dyDescent="0.3">
      <c r="A19" s="37" t="s">
        <v>27</v>
      </c>
      <c r="B19" s="115"/>
      <c r="C19" s="153"/>
      <c r="D19" s="153"/>
      <c r="E19" s="420"/>
      <c r="F19" s="170" t="s">
        <v>0</v>
      </c>
      <c r="G19" s="98" t="s">
        <v>9</v>
      </c>
      <c r="H19" s="224"/>
      <c r="I19" s="2"/>
      <c r="J19" s="2"/>
      <c r="K19" s="2"/>
      <c r="L19" s="250"/>
      <c r="M19" s="250"/>
      <c r="N19" s="250"/>
      <c r="O19" s="250" t="s">
        <v>110</v>
      </c>
      <c r="P19" s="250"/>
      <c r="Q19" s="250"/>
      <c r="R19" s="250"/>
      <c r="S19" s="236"/>
      <c r="T19" s="236"/>
      <c r="U19" s="236"/>
      <c r="V19" s="237"/>
      <c r="X19" s="165"/>
      <c r="Y19" s="250"/>
      <c r="Z19" s="250"/>
      <c r="AA19" s="250"/>
      <c r="AB19" s="250"/>
      <c r="AC19" s="250"/>
      <c r="AD19" s="250" t="s">
        <v>111</v>
      </c>
      <c r="AE19" s="250"/>
      <c r="AF19" s="250"/>
      <c r="AG19" s="236">
        <v>8.0299999999999994</v>
      </c>
      <c r="AH19" s="236">
        <v>2.5</v>
      </c>
      <c r="AI19" s="236">
        <v>5.53</v>
      </c>
      <c r="AJ19" s="237">
        <v>3.2120000000000002</v>
      </c>
    </row>
    <row r="20" spans="1:36" ht="15.75" thickBot="1" x14ac:dyDescent="0.3">
      <c r="A20" s="141" t="s">
        <v>238</v>
      </c>
      <c r="B20" s="167"/>
      <c r="C20" s="171"/>
      <c r="D20" s="171"/>
      <c r="E20" s="430"/>
      <c r="F20" s="172"/>
      <c r="G20" s="94"/>
      <c r="H20" s="224"/>
      <c r="I20" s="2"/>
      <c r="J20" s="2"/>
      <c r="K20" s="2"/>
      <c r="L20" s="250"/>
      <c r="M20" s="250"/>
      <c r="N20" s="250"/>
      <c r="O20" s="250"/>
      <c r="P20" s="250"/>
      <c r="Q20" s="250"/>
      <c r="R20" s="250"/>
      <c r="S20" s="236"/>
      <c r="T20" s="236"/>
      <c r="U20" s="236"/>
      <c r="V20" s="237"/>
      <c r="X20" s="165"/>
      <c r="Y20" s="250"/>
      <c r="Z20" s="250"/>
      <c r="AA20" s="250"/>
      <c r="AB20" s="250"/>
      <c r="AC20" s="250"/>
      <c r="AD20" s="250" t="s">
        <v>112</v>
      </c>
      <c r="AE20" s="250"/>
      <c r="AF20" s="250"/>
      <c r="AG20" s="236">
        <v>8191.78</v>
      </c>
      <c r="AH20" s="236">
        <v>15951.8</v>
      </c>
      <c r="AI20" s="236">
        <v>-7760.02</v>
      </c>
      <c r="AJ20" s="237">
        <v>0.51353000000000004</v>
      </c>
    </row>
    <row r="21" spans="1:36" x14ac:dyDescent="0.25">
      <c r="A21" s="41" t="s">
        <v>87</v>
      </c>
      <c r="B21" s="115">
        <f>AG29</f>
        <v>1550.61</v>
      </c>
      <c r="C21" s="123">
        <f>B21*1.1</f>
        <v>1705.671</v>
      </c>
      <c r="D21" s="123">
        <v>1800</v>
      </c>
      <c r="E21" s="420">
        <v>2000</v>
      </c>
      <c r="F21" s="115">
        <f t="shared" ref="F21:F32" si="2">E21-D21</f>
        <v>200</v>
      </c>
      <c r="G21" s="11">
        <f t="shared" ref="G21:G33" si="3">F21/D21</f>
        <v>0.1111111111111111</v>
      </c>
      <c r="H21" s="224"/>
      <c r="I21" s="2"/>
      <c r="J21" s="2"/>
      <c r="K21" s="2"/>
      <c r="L21" s="250"/>
      <c r="M21" s="250"/>
      <c r="N21" s="250"/>
      <c r="O21" s="250"/>
      <c r="P21" s="250" t="s">
        <v>111</v>
      </c>
      <c r="Q21" s="250"/>
      <c r="R21" s="250"/>
      <c r="S21" s="236">
        <v>8.0299999999999994</v>
      </c>
      <c r="T21" s="236">
        <v>2.25</v>
      </c>
      <c r="U21" s="236">
        <v>5.78</v>
      </c>
      <c r="V21" s="237">
        <v>3.5688900000000001</v>
      </c>
      <c r="X21" s="165"/>
      <c r="Y21" s="250"/>
      <c r="Z21" s="250"/>
      <c r="AA21" s="250"/>
      <c r="AB21" s="250"/>
      <c r="AC21" s="250"/>
      <c r="AD21" s="250" t="s">
        <v>113</v>
      </c>
      <c r="AE21" s="250"/>
      <c r="AF21" s="250"/>
      <c r="AG21" s="236">
        <v>1548.02</v>
      </c>
      <c r="AH21" s="236">
        <v>3621</v>
      </c>
      <c r="AI21" s="236">
        <v>-2072.98</v>
      </c>
      <c r="AJ21" s="237">
        <v>0.42751</v>
      </c>
    </row>
    <row r="22" spans="1:36" ht="15.75" thickBot="1" x14ac:dyDescent="0.3">
      <c r="A22" s="39" t="s">
        <v>22</v>
      </c>
      <c r="B22" s="115">
        <f>AG30</f>
        <v>0</v>
      </c>
      <c r="C22" s="123">
        <v>100</v>
      </c>
      <c r="D22" s="123">
        <v>250</v>
      </c>
      <c r="E22" s="420"/>
      <c r="F22" s="115">
        <f t="shared" si="2"/>
        <v>-250</v>
      </c>
      <c r="G22" s="11">
        <f t="shared" si="3"/>
        <v>-1</v>
      </c>
      <c r="H22" s="224"/>
      <c r="I22" s="2"/>
      <c r="J22" s="2"/>
      <c r="K22" s="2"/>
      <c r="L22" s="250"/>
      <c r="M22" s="250"/>
      <c r="N22" s="250"/>
      <c r="O22" s="250"/>
      <c r="P22" s="250" t="s">
        <v>112</v>
      </c>
      <c r="Q22" s="250"/>
      <c r="R22" s="250"/>
      <c r="S22" s="236">
        <v>8191.78</v>
      </c>
      <c r="T22" s="236">
        <v>14401.8</v>
      </c>
      <c r="U22" s="236">
        <v>-6210.02</v>
      </c>
      <c r="V22" s="237">
        <v>0.56879999999999997</v>
      </c>
      <c r="X22" s="165"/>
      <c r="Y22" s="250"/>
      <c r="Z22" s="250"/>
      <c r="AA22" s="250"/>
      <c r="AB22" s="250"/>
      <c r="AC22" s="250"/>
      <c r="AD22" s="250" t="s">
        <v>114</v>
      </c>
      <c r="AE22" s="250"/>
      <c r="AF22" s="250"/>
      <c r="AG22" s="236">
        <v>11050.32</v>
      </c>
      <c r="AH22" s="236">
        <v>18000</v>
      </c>
      <c r="AI22" s="236">
        <v>-6949.68</v>
      </c>
      <c r="AJ22" s="237">
        <v>0.61390999999999996</v>
      </c>
    </row>
    <row r="23" spans="1:36" ht="15.75" thickBot="1" x14ac:dyDescent="0.3">
      <c r="A23" s="41" t="s">
        <v>50</v>
      </c>
      <c r="B23" s="115">
        <f>AG31</f>
        <v>570.36</v>
      </c>
      <c r="C23" s="123">
        <f>B23*1.17</f>
        <v>667.32119999999998</v>
      </c>
      <c r="D23" s="123">
        <v>1000</v>
      </c>
      <c r="E23" s="420">
        <f t="shared" ref="E23:E28" si="4">D23</f>
        <v>1000</v>
      </c>
      <c r="F23" s="115">
        <f t="shared" si="2"/>
        <v>0</v>
      </c>
      <c r="G23" s="11">
        <f t="shared" si="3"/>
        <v>0</v>
      </c>
      <c r="H23" s="224"/>
      <c r="I23" s="2"/>
      <c r="J23" s="2"/>
      <c r="K23" s="2"/>
      <c r="L23" s="250"/>
      <c r="M23" s="250"/>
      <c r="N23" s="250"/>
      <c r="O23" s="250"/>
      <c r="P23" s="250" t="s">
        <v>113</v>
      </c>
      <c r="Q23" s="250"/>
      <c r="R23" s="250"/>
      <c r="S23" s="236">
        <v>1548.02</v>
      </c>
      <c r="T23" s="236">
        <v>3258.9</v>
      </c>
      <c r="U23" s="236">
        <v>-1710.88</v>
      </c>
      <c r="V23" s="237">
        <v>0.47500999999999999</v>
      </c>
      <c r="X23" s="165"/>
      <c r="Y23" s="250"/>
      <c r="Z23" s="250"/>
      <c r="AA23" s="250"/>
      <c r="AB23" s="250"/>
      <c r="AC23" s="250" t="s">
        <v>115</v>
      </c>
      <c r="AD23" s="250"/>
      <c r="AE23" s="250"/>
      <c r="AF23" s="250"/>
      <c r="AG23" s="240">
        <v>20798.150000000001</v>
      </c>
      <c r="AH23" s="240">
        <v>37575.300000000003</v>
      </c>
      <c r="AI23" s="240">
        <v>-16777.150000000001</v>
      </c>
      <c r="AJ23" s="241">
        <v>0.55350999999999995</v>
      </c>
    </row>
    <row r="24" spans="1:36" ht="15.75" thickBot="1" x14ac:dyDescent="0.3">
      <c r="A24" s="39" t="s">
        <v>24</v>
      </c>
      <c r="B24" s="115">
        <f>AG32</f>
        <v>170.3</v>
      </c>
      <c r="C24" s="123" t="e">
        <f>#REF!</f>
        <v>#REF!</v>
      </c>
      <c r="D24" s="123">
        <v>15000</v>
      </c>
      <c r="E24" s="420">
        <f t="shared" si="4"/>
        <v>15000</v>
      </c>
      <c r="F24" s="115">
        <f t="shared" si="2"/>
        <v>0</v>
      </c>
      <c r="G24" s="11">
        <f t="shared" si="3"/>
        <v>0</v>
      </c>
      <c r="H24" s="224"/>
      <c r="I24" s="2"/>
      <c r="J24" s="2"/>
      <c r="K24" s="2"/>
      <c r="L24" s="250"/>
      <c r="M24" s="250"/>
      <c r="N24" s="250"/>
      <c r="O24" s="250"/>
      <c r="P24" s="250" t="s">
        <v>114</v>
      </c>
      <c r="Q24" s="250"/>
      <c r="R24" s="250"/>
      <c r="S24" s="236">
        <v>11050.32</v>
      </c>
      <c r="T24" s="236">
        <v>16200</v>
      </c>
      <c r="U24" s="236">
        <v>-5149.68</v>
      </c>
      <c r="V24" s="237">
        <v>0.68211999999999995</v>
      </c>
      <c r="X24" s="165"/>
      <c r="Y24" s="250"/>
      <c r="Z24" s="250"/>
      <c r="AA24" s="250"/>
      <c r="AB24" s="250" t="s">
        <v>116</v>
      </c>
      <c r="AC24" s="250"/>
      <c r="AD24" s="250"/>
      <c r="AE24" s="250"/>
      <c r="AF24" s="250"/>
      <c r="AG24" s="242">
        <v>553002.28</v>
      </c>
      <c r="AH24" s="242">
        <v>583392.57999999996</v>
      </c>
      <c r="AI24" s="242">
        <v>-30390.3</v>
      </c>
      <c r="AJ24" s="243">
        <v>0.94791000000000003</v>
      </c>
    </row>
    <row r="25" spans="1:36" ht="15.75" thickBot="1" x14ac:dyDescent="0.3">
      <c r="A25" s="39" t="s">
        <v>85</v>
      </c>
      <c r="B25" s="115">
        <f>AG38</f>
        <v>4899.58</v>
      </c>
      <c r="C25" s="123">
        <v>7000</v>
      </c>
      <c r="D25" s="123">
        <v>9000</v>
      </c>
      <c r="E25" s="420">
        <f t="shared" si="4"/>
        <v>9000</v>
      </c>
      <c r="F25" s="115">
        <f t="shared" si="2"/>
        <v>0</v>
      </c>
      <c r="G25" s="11">
        <f t="shared" si="3"/>
        <v>0</v>
      </c>
      <c r="H25" s="226" t="s">
        <v>232</v>
      </c>
      <c r="I25" s="2"/>
      <c r="J25" s="2"/>
      <c r="K25" s="2"/>
      <c r="L25" s="250"/>
      <c r="M25" s="250"/>
      <c r="N25" s="250"/>
      <c r="O25" s="250"/>
      <c r="P25" s="250"/>
      <c r="Q25" s="250"/>
      <c r="R25" s="250"/>
      <c r="S25" s="236"/>
      <c r="T25" s="236"/>
      <c r="U25" s="236"/>
      <c r="V25" s="237"/>
      <c r="X25" s="165"/>
      <c r="Y25" s="250"/>
      <c r="Z25" s="250"/>
      <c r="AA25" s="250" t="s">
        <v>117</v>
      </c>
      <c r="AB25" s="250"/>
      <c r="AC25" s="250"/>
      <c r="AD25" s="250"/>
      <c r="AE25" s="250"/>
      <c r="AF25" s="250"/>
      <c r="AG25" s="236">
        <v>553002.28</v>
      </c>
      <c r="AH25" s="236">
        <v>583392.57999999996</v>
      </c>
      <c r="AI25" s="236">
        <v>-30390.3</v>
      </c>
      <c r="AJ25" s="237">
        <v>0.94791000000000003</v>
      </c>
    </row>
    <row r="26" spans="1:36" ht="15.75" thickBot="1" x14ac:dyDescent="0.3">
      <c r="A26" s="39" t="s">
        <v>25</v>
      </c>
      <c r="B26" s="115">
        <f>AG39</f>
        <v>550</v>
      </c>
      <c r="C26" s="123">
        <v>1000</v>
      </c>
      <c r="D26" s="123">
        <v>1000</v>
      </c>
      <c r="E26" s="420">
        <f t="shared" si="4"/>
        <v>1000</v>
      </c>
      <c r="F26" s="115">
        <f t="shared" si="2"/>
        <v>0</v>
      </c>
      <c r="G26" s="11">
        <f t="shared" si="3"/>
        <v>0</v>
      </c>
      <c r="H26" s="224"/>
      <c r="I26" s="2"/>
      <c r="J26" s="2"/>
      <c r="K26" s="2"/>
      <c r="L26" s="250"/>
      <c r="M26" s="250"/>
      <c r="N26" s="250"/>
      <c r="O26" s="250" t="s">
        <v>115</v>
      </c>
      <c r="P26" s="250"/>
      <c r="Q26" s="250"/>
      <c r="R26" s="250"/>
      <c r="S26" s="240">
        <v>20798.150000000001</v>
      </c>
      <c r="T26" s="240">
        <v>33862.949999999997</v>
      </c>
      <c r="U26" s="240">
        <v>-13064.8</v>
      </c>
      <c r="V26" s="241">
        <v>0.61419000000000001</v>
      </c>
      <c r="X26" s="165"/>
      <c r="Y26" s="250"/>
      <c r="Z26" s="250"/>
      <c r="AA26" s="250"/>
      <c r="AB26" s="250" t="s">
        <v>118</v>
      </c>
      <c r="AC26" s="250"/>
      <c r="AD26" s="250"/>
      <c r="AE26" s="250"/>
      <c r="AF26" s="250"/>
      <c r="AG26" s="236"/>
      <c r="AH26" s="236"/>
      <c r="AI26" s="236"/>
      <c r="AJ26" s="237"/>
    </row>
    <row r="27" spans="1:36" ht="15.75" thickBot="1" x14ac:dyDescent="0.3">
      <c r="A27" s="41" t="s">
        <v>2</v>
      </c>
      <c r="B27" s="115">
        <f>AG47</f>
        <v>10657.39</v>
      </c>
      <c r="C27" s="123">
        <f>B27*1.17</f>
        <v>12469.146299999999</v>
      </c>
      <c r="D27" s="123">
        <v>14000</v>
      </c>
      <c r="E27" s="420">
        <f t="shared" si="4"/>
        <v>14000</v>
      </c>
      <c r="F27" s="115">
        <f t="shared" si="2"/>
        <v>0</v>
      </c>
      <c r="G27" s="11">
        <f t="shared" si="3"/>
        <v>0</v>
      </c>
      <c r="H27" s="224"/>
      <c r="I27" s="2"/>
      <c r="J27" s="2"/>
      <c r="K27" s="2"/>
      <c r="L27" s="250"/>
      <c r="M27" s="250"/>
      <c r="N27" s="250"/>
      <c r="O27" s="250"/>
      <c r="P27" s="250"/>
      <c r="Q27" s="250"/>
      <c r="R27" s="250"/>
      <c r="S27" s="240"/>
      <c r="T27" s="240"/>
      <c r="U27" s="240"/>
      <c r="V27" s="241"/>
      <c r="X27" s="165"/>
      <c r="Y27" s="250"/>
      <c r="Z27" s="250"/>
      <c r="AA27" s="250"/>
      <c r="AB27" s="250"/>
      <c r="AC27" s="250" t="s">
        <v>119</v>
      </c>
      <c r="AD27" s="250"/>
      <c r="AE27" s="250"/>
      <c r="AF27" s="250"/>
      <c r="AG27" s="236"/>
      <c r="AH27" s="236"/>
      <c r="AI27" s="236"/>
      <c r="AJ27" s="237"/>
    </row>
    <row r="28" spans="1:36" ht="15.75" thickBot="1" x14ac:dyDescent="0.3">
      <c r="A28" s="41" t="s">
        <v>84</v>
      </c>
      <c r="B28" s="115">
        <f>AG65</f>
        <v>157639.01999999999</v>
      </c>
      <c r="C28" s="124">
        <f>B28*1.25</f>
        <v>197048.77499999999</v>
      </c>
      <c r="D28" s="123">
        <v>204000</v>
      </c>
      <c r="E28" s="420">
        <f t="shared" si="4"/>
        <v>204000</v>
      </c>
      <c r="F28" s="115">
        <f t="shared" si="2"/>
        <v>0</v>
      </c>
      <c r="G28" s="11">
        <f t="shared" si="3"/>
        <v>0</v>
      </c>
      <c r="H28" s="224"/>
      <c r="I28" s="2"/>
      <c r="J28" s="2"/>
      <c r="K28" s="2"/>
      <c r="L28" s="250"/>
      <c r="M28" s="250"/>
      <c r="N28" s="250" t="s">
        <v>116</v>
      </c>
      <c r="O28" s="250"/>
      <c r="P28" s="250"/>
      <c r="Q28" s="250"/>
      <c r="R28" s="250"/>
      <c r="S28" s="242">
        <v>499867.32</v>
      </c>
      <c r="T28" s="242">
        <v>525673.86</v>
      </c>
      <c r="U28" s="242">
        <v>-25806.54</v>
      </c>
      <c r="V28" s="243">
        <v>0.95091000000000003</v>
      </c>
      <c r="X28" s="165"/>
      <c r="Y28" s="250"/>
      <c r="Z28" s="250"/>
      <c r="AA28" s="250"/>
      <c r="AB28" s="250"/>
      <c r="AC28" s="250"/>
      <c r="AD28" s="250" t="s">
        <v>120</v>
      </c>
      <c r="AE28" s="250"/>
      <c r="AF28" s="250"/>
      <c r="AG28" s="236">
        <v>0</v>
      </c>
      <c r="AH28" s="236">
        <v>0</v>
      </c>
      <c r="AI28" s="236">
        <v>0</v>
      </c>
      <c r="AJ28" s="237">
        <v>0</v>
      </c>
    </row>
    <row r="29" spans="1:36" x14ac:dyDescent="0.25">
      <c r="A29" s="41" t="s">
        <v>86</v>
      </c>
      <c r="B29" s="115">
        <f>AG70</f>
        <v>7355</v>
      </c>
      <c r="C29" s="123">
        <v>7800</v>
      </c>
      <c r="D29" s="123">
        <v>4500</v>
      </c>
      <c r="E29" s="420">
        <v>200000</v>
      </c>
      <c r="F29" s="115">
        <f t="shared" si="2"/>
        <v>195500</v>
      </c>
      <c r="G29" s="11">
        <f t="shared" si="3"/>
        <v>43.444444444444443</v>
      </c>
      <c r="H29" s="224"/>
      <c r="I29" s="2"/>
      <c r="J29" s="2"/>
      <c r="K29" s="2"/>
      <c r="L29" s="250"/>
      <c r="M29" s="250"/>
      <c r="N29" s="250"/>
      <c r="O29" s="250"/>
      <c r="P29" s="250"/>
      <c r="Q29" s="250"/>
      <c r="R29" s="250"/>
      <c r="S29" s="236"/>
      <c r="T29" s="236"/>
      <c r="U29" s="236"/>
      <c r="V29" s="237"/>
      <c r="X29" s="165"/>
      <c r="Y29" s="250"/>
      <c r="Z29" s="250"/>
      <c r="AA29" s="250"/>
      <c r="AB29" s="250"/>
      <c r="AC29" s="250"/>
      <c r="AD29" s="250" t="s">
        <v>121</v>
      </c>
      <c r="AE29" s="250"/>
      <c r="AF29" s="250"/>
      <c r="AG29" s="236">
        <v>1550.61</v>
      </c>
      <c r="AH29" s="236">
        <v>1500</v>
      </c>
      <c r="AI29" s="236">
        <v>50.61</v>
      </c>
      <c r="AJ29" s="237">
        <v>1.0337400000000001</v>
      </c>
    </row>
    <row r="30" spans="1:36" x14ac:dyDescent="0.25">
      <c r="A30" s="39" t="s">
        <v>239</v>
      </c>
      <c r="B30" s="115">
        <f>AG71</f>
        <v>2008.45</v>
      </c>
      <c r="C30" s="123">
        <v>2200</v>
      </c>
      <c r="D30" s="123">
        <v>1400</v>
      </c>
      <c r="E30" s="420">
        <f>D30</f>
        <v>1400</v>
      </c>
      <c r="F30" s="115">
        <f t="shared" si="2"/>
        <v>0</v>
      </c>
      <c r="G30" s="11">
        <f t="shared" si="3"/>
        <v>0</v>
      </c>
      <c r="H30" s="224"/>
      <c r="I30" s="2"/>
      <c r="J30" s="2"/>
      <c r="K30" s="2"/>
      <c r="L30" s="250"/>
      <c r="M30" s="250"/>
      <c r="N30" s="250"/>
      <c r="O30" s="250"/>
      <c r="P30" s="250"/>
      <c r="Q30" s="250"/>
      <c r="R30" s="250"/>
      <c r="S30" s="236"/>
      <c r="T30" s="236"/>
      <c r="U30" s="236"/>
      <c r="V30" s="237"/>
      <c r="X30" s="165"/>
      <c r="Y30" s="250"/>
      <c r="Z30" s="250"/>
      <c r="AA30" s="250"/>
      <c r="AB30" s="250"/>
      <c r="AC30" s="250"/>
      <c r="AD30" s="250" t="s">
        <v>122</v>
      </c>
      <c r="AE30" s="250"/>
      <c r="AF30" s="250"/>
      <c r="AG30" s="236">
        <v>0</v>
      </c>
      <c r="AH30" s="236">
        <v>0</v>
      </c>
      <c r="AI30" s="236">
        <v>0</v>
      </c>
      <c r="AJ30" s="237">
        <v>0</v>
      </c>
    </row>
    <row r="31" spans="1:36" x14ac:dyDescent="0.25">
      <c r="A31" s="39" t="s">
        <v>23</v>
      </c>
      <c r="B31" s="115">
        <f>AG72</f>
        <v>0</v>
      </c>
      <c r="C31" s="123">
        <v>1200</v>
      </c>
      <c r="D31" s="123">
        <v>1800</v>
      </c>
      <c r="E31" s="420">
        <f>D31</f>
        <v>1800</v>
      </c>
      <c r="F31" s="115">
        <f t="shared" si="2"/>
        <v>0</v>
      </c>
      <c r="G31" s="11">
        <f t="shared" si="3"/>
        <v>0</v>
      </c>
      <c r="H31" s="224"/>
      <c r="I31" s="2"/>
      <c r="J31" s="2"/>
      <c r="K31" s="2"/>
      <c r="L31" s="250"/>
      <c r="M31" s="250"/>
      <c r="N31" s="250"/>
      <c r="O31" s="250"/>
      <c r="P31" s="250"/>
      <c r="Q31" s="250"/>
      <c r="R31" s="250"/>
      <c r="S31" s="236"/>
      <c r="T31" s="236"/>
      <c r="U31" s="236"/>
      <c r="V31" s="237"/>
      <c r="X31" s="165"/>
      <c r="Y31" s="250"/>
      <c r="Z31" s="250"/>
      <c r="AA31" s="250"/>
      <c r="AB31" s="250"/>
      <c r="AC31" s="250"/>
      <c r="AD31" s="250" t="s">
        <v>123</v>
      </c>
      <c r="AE31" s="250"/>
      <c r="AF31" s="250"/>
      <c r="AG31" s="236">
        <v>570.36</v>
      </c>
      <c r="AH31" s="236">
        <v>833.34</v>
      </c>
      <c r="AI31" s="236">
        <v>-262.98</v>
      </c>
      <c r="AJ31" s="237">
        <v>0.68442999999999998</v>
      </c>
    </row>
    <row r="32" spans="1:36" x14ac:dyDescent="0.25">
      <c r="A32" s="39" t="s">
        <v>31</v>
      </c>
      <c r="B32" s="115">
        <f>AG79</f>
        <v>4903.57</v>
      </c>
      <c r="C32" s="123">
        <f>B32*1.25</f>
        <v>6129.4624999999996</v>
      </c>
      <c r="D32" s="123">
        <v>7800</v>
      </c>
      <c r="E32" s="420">
        <v>5500</v>
      </c>
      <c r="F32" s="115">
        <f t="shared" si="2"/>
        <v>-2300</v>
      </c>
      <c r="G32" s="11">
        <f t="shared" si="3"/>
        <v>-0.29487179487179488</v>
      </c>
      <c r="H32" s="224"/>
      <c r="I32" s="2"/>
      <c r="J32" s="2"/>
      <c r="K32" s="2"/>
      <c r="L32" s="250"/>
      <c r="M32" s="250" t="s">
        <v>117</v>
      </c>
      <c r="N32" s="250"/>
      <c r="O32" s="250"/>
      <c r="P32" s="250"/>
      <c r="Q32" s="250"/>
      <c r="R32" s="250"/>
      <c r="S32" s="236">
        <v>499867.32</v>
      </c>
      <c r="T32" s="236">
        <v>525673.86</v>
      </c>
      <c r="U32" s="236">
        <v>-25806.54</v>
      </c>
      <c r="V32" s="237">
        <v>0.95091000000000003</v>
      </c>
      <c r="X32" s="165"/>
      <c r="Y32" s="250"/>
      <c r="Z32" s="250"/>
      <c r="AA32" s="250"/>
      <c r="AB32" s="250"/>
      <c r="AC32" s="250"/>
      <c r="AD32" s="250" t="s">
        <v>124</v>
      </c>
      <c r="AE32" s="250"/>
      <c r="AF32" s="250"/>
      <c r="AG32" s="236">
        <v>170.3</v>
      </c>
      <c r="AH32" s="236">
        <v>1000</v>
      </c>
      <c r="AI32" s="236">
        <v>-829.7</v>
      </c>
      <c r="AJ32" s="237">
        <v>0.17030000000000001</v>
      </c>
    </row>
    <row r="33" spans="1:36" ht="15.75" x14ac:dyDescent="0.25">
      <c r="A33" s="227" t="s">
        <v>48</v>
      </c>
      <c r="B33" s="196">
        <f>SUM(B21:B32)</f>
        <v>190304.28</v>
      </c>
      <c r="C33" s="207" t="e">
        <f>SUM(C21:C32)</f>
        <v>#REF!</v>
      </c>
      <c r="D33" s="207">
        <v>261550</v>
      </c>
      <c r="E33" s="423">
        <f>SUM(E21:E32)</f>
        <v>454700</v>
      </c>
      <c r="F33" s="209">
        <f>SUM(F21:F32)</f>
        <v>193150</v>
      </c>
      <c r="G33" s="200">
        <f t="shared" si="3"/>
        <v>0.7384821257885682</v>
      </c>
      <c r="H33" s="224"/>
      <c r="I33" s="2"/>
      <c r="J33" s="2"/>
      <c r="K33" s="2"/>
      <c r="L33" s="250"/>
      <c r="M33" s="250"/>
      <c r="N33" s="250" t="s">
        <v>118</v>
      </c>
      <c r="O33" s="250"/>
      <c r="P33" s="250"/>
      <c r="Q33" s="250"/>
      <c r="R33" s="250"/>
      <c r="S33" s="236"/>
      <c r="T33" s="236"/>
      <c r="U33" s="236"/>
      <c r="V33" s="237"/>
      <c r="X33" s="165"/>
      <c r="Y33" s="250"/>
      <c r="Z33" s="250"/>
      <c r="AA33" s="250"/>
      <c r="AB33" s="250"/>
      <c r="AC33" s="250"/>
      <c r="AD33" s="250" t="s">
        <v>125</v>
      </c>
      <c r="AE33" s="250"/>
      <c r="AF33" s="250"/>
      <c r="AG33" s="236"/>
      <c r="AH33" s="236"/>
      <c r="AI33" s="236"/>
      <c r="AJ33" s="237"/>
    </row>
    <row r="34" spans="1:36" ht="15.75" thickBot="1" x14ac:dyDescent="0.3">
      <c r="A34" s="204"/>
      <c r="B34" s="193"/>
      <c r="C34" s="205"/>
      <c r="D34" s="205"/>
      <c r="E34" s="435"/>
      <c r="F34" s="206"/>
      <c r="G34" s="12"/>
      <c r="H34" s="224"/>
      <c r="I34" s="2"/>
      <c r="J34" s="2"/>
      <c r="K34" s="2"/>
      <c r="L34" s="250"/>
      <c r="M34" s="250"/>
      <c r="N34" s="250"/>
      <c r="O34" s="250"/>
      <c r="P34" s="250"/>
      <c r="Q34" s="250"/>
      <c r="R34" s="250"/>
      <c r="S34" s="236"/>
      <c r="T34" s="236"/>
      <c r="U34" s="236"/>
      <c r="V34" s="237"/>
      <c r="X34" s="165"/>
      <c r="Y34" s="250"/>
      <c r="Z34" s="250"/>
      <c r="AA34" s="250"/>
      <c r="AB34" s="250"/>
      <c r="AC34" s="250"/>
      <c r="AD34" s="250"/>
      <c r="AE34" s="250" t="s">
        <v>126</v>
      </c>
      <c r="AF34" s="250"/>
      <c r="AG34" s="236">
        <v>2246.23</v>
      </c>
      <c r="AH34" s="236">
        <v>1000</v>
      </c>
      <c r="AI34" s="236">
        <v>1246.23</v>
      </c>
      <c r="AJ34" s="237">
        <v>2.2462300000000002</v>
      </c>
    </row>
    <row r="35" spans="1:36" x14ac:dyDescent="0.25">
      <c r="A35" s="38" t="s">
        <v>46</v>
      </c>
      <c r="B35" s="115"/>
      <c r="C35" s="121"/>
      <c r="D35" s="121"/>
      <c r="E35" s="420"/>
      <c r="F35" s="115"/>
      <c r="G35" s="11"/>
      <c r="H35" s="224"/>
      <c r="I35" s="2"/>
      <c r="J35" s="2"/>
      <c r="K35" s="2"/>
      <c r="L35" s="250"/>
      <c r="M35" s="250"/>
      <c r="N35" s="250"/>
      <c r="O35" s="250"/>
      <c r="P35" s="250"/>
      <c r="Q35" s="250"/>
      <c r="R35" s="250"/>
      <c r="S35" s="236"/>
      <c r="T35" s="236"/>
      <c r="U35" s="236"/>
      <c r="V35" s="237"/>
      <c r="X35" s="165"/>
      <c r="Y35" s="250"/>
      <c r="Z35" s="250"/>
      <c r="AA35" s="250"/>
      <c r="AB35" s="250"/>
      <c r="AC35" s="250"/>
      <c r="AD35" s="250"/>
      <c r="AE35" s="250" t="s">
        <v>127</v>
      </c>
      <c r="AF35" s="250"/>
      <c r="AG35" s="236">
        <v>0</v>
      </c>
      <c r="AH35" s="236">
        <v>0</v>
      </c>
      <c r="AI35" s="236">
        <v>0</v>
      </c>
      <c r="AJ35" s="237">
        <v>0</v>
      </c>
    </row>
    <row r="36" spans="1:36" x14ac:dyDescent="0.25">
      <c r="A36" s="38" t="s">
        <v>44</v>
      </c>
      <c r="B36" s="115"/>
      <c r="C36" s="121"/>
      <c r="D36" s="121"/>
      <c r="E36" s="420"/>
      <c r="F36" s="115"/>
      <c r="G36" s="11"/>
      <c r="H36" s="224"/>
      <c r="I36" s="2"/>
      <c r="J36" s="2"/>
      <c r="K36" s="2"/>
      <c r="L36" s="250"/>
      <c r="M36" s="250"/>
      <c r="N36" s="250"/>
      <c r="O36" s="250" t="s">
        <v>119</v>
      </c>
      <c r="P36" s="250"/>
      <c r="Q36" s="250"/>
      <c r="R36" s="250"/>
      <c r="S36" s="236"/>
      <c r="T36" s="236"/>
      <c r="U36" s="236"/>
      <c r="V36" s="237"/>
      <c r="X36" s="165"/>
      <c r="Y36" s="250"/>
      <c r="Z36" s="250"/>
      <c r="AA36" s="250"/>
      <c r="AB36" s="250"/>
      <c r="AC36" s="250"/>
      <c r="AD36" s="250"/>
      <c r="AE36" s="250" t="s">
        <v>128</v>
      </c>
      <c r="AF36" s="250"/>
      <c r="AG36" s="236">
        <v>2653.35</v>
      </c>
      <c r="AH36" s="236">
        <v>5000</v>
      </c>
      <c r="AI36" s="236">
        <v>-2346.65</v>
      </c>
      <c r="AJ36" s="237">
        <v>0.53066999999999998</v>
      </c>
    </row>
    <row r="37" spans="1:36" ht="15.75" thickBot="1" x14ac:dyDescent="0.3">
      <c r="A37" s="39" t="s">
        <v>223</v>
      </c>
      <c r="B37" s="115">
        <f>AG84</f>
        <v>742.1</v>
      </c>
      <c r="C37" s="121">
        <v>1100</v>
      </c>
      <c r="D37" s="121">
        <v>1500</v>
      </c>
      <c r="E37" s="420">
        <f>D37</f>
        <v>1500</v>
      </c>
      <c r="F37" s="115">
        <f t="shared" ref="F37:F55" si="5">E37-D37</f>
        <v>0</v>
      </c>
      <c r="G37" s="11">
        <f>F37/D37</f>
        <v>0</v>
      </c>
      <c r="H37" s="224"/>
      <c r="I37" s="2"/>
      <c r="J37" s="2"/>
      <c r="K37" s="2"/>
      <c r="L37" s="250"/>
      <c r="M37" s="250"/>
      <c r="N37" s="250"/>
      <c r="O37" s="250"/>
      <c r="P37" s="250" t="s">
        <v>120</v>
      </c>
      <c r="Q37" s="250"/>
      <c r="R37" s="250"/>
      <c r="S37" s="236">
        <v>0</v>
      </c>
      <c r="T37" s="236">
        <v>0</v>
      </c>
      <c r="U37" s="236">
        <v>0</v>
      </c>
      <c r="V37" s="237">
        <v>0</v>
      </c>
      <c r="X37" s="165"/>
      <c r="Y37" s="250"/>
      <c r="Z37" s="250"/>
      <c r="AA37" s="250"/>
      <c r="AB37" s="250"/>
      <c r="AC37" s="250"/>
      <c r="AD37" s="250"/>
      <c r="AE37" s="250" t="s">
        <v>129</v>
      </c>
      <c r="AF37" s="250"/>
      <c r="AG37" s="238">
        <v>0</v>
      </c>
      <c r="AH37" s="238">
        <v>3000</v>
      </c>
      <c r="AI37" s="238">
        <v>-3000</v>
      </c>
      <c r="AJ37" s="239">
        <v>0</v>
      </c>
    </row>
    <row r="38" spans="1:36" x14ac:dyDescent="0.25">
      <c r="A38" s="39" t="s">
        <v>33</v>
      </c>
      <c r="B38" s="115">
        <f>AG85</f>
        <v>61.13</v>
      </c>
      <c r="C38" s="121">
        <v>1100</v>
      </c>
      <c r="D38" s="121">
        <v>1200</v>
      </c>
      <c r="E38" s="420">
        <f>D38</f>
        <v>1200</v>
      </c>
      <c r="F38" s="115">
        <f t="shared" si="5"/>
        <v>0</v>
      </c>
      <c r="G38" s="11">
        <f>F38/D38</f>
        <v>0</v>
      </c>
      <c r="H38" s="224"/>
      <c r="J38" s="2"/>
      <c r="K38" s="2"/>
      <c r="L38" s="250"/>
      <c r="M38" s="250"/>
      <c r="N38" s="250"/>
      <c r="O38" s="250"/>
      <c r="P38" s="250" t="s">
        <v>121</v>
      </c>
      <c r="Q38" s="250"/>
      <c r="R38" s="250"/>
      <c r="S38" s="236">
        <v>800.76</v>
      </c>
      <c r="T38" s="236">
        <v>1350</v>
      </c>
      <c r="U38" s="236">
        <v>-549.24</v>
      </c>
      <c r="V38" s="237">
        <v>0.59316000000000002</v>
      </c>
      <c r="X38" s="165"/>
      <c r="Y38" s="250"/>
      <c r="Z38" s="250"/>
      <c r="AA38" s="250"/>
      <c r="AB38" s="250"/>
      <c r="AC38" s="250"/>
      <c r="AD38" s="250" t="s">
        <v>130</v>
      </c>
      <c r="AE38" s="250"/>
      <c r="AF38" s="250"/>
      <c r="AG38" s="236">
        <v>4899.58</v>
      </c>
      <c r="AH38" s="236">
        <v>9000</v>
      </c>
      <c r="AI38" s="236">
        <v>-4100.42</v>
      </c>
      <c r="AJ38" s="237">
        <v>0.5444</v>
      </c>
    </row>
    <row r="39" spans="1:36" x14ac:dyDescent="0.25">
      <c r="A39" s="39" t="s">
        <v>34</v>
      </c>
      <c r="B39" s="115">
        <f>AG86</f>
        <v>395.82</v>
      </c>
      <c r="C39" s="121">
        <f>D39</f>
        <v>800</v>
      </c>
      <c r="D39" s="121">
        <v>800</v>
      </c>
      <c r="E39" s="420">
        <f>D39</f>
        <v>800</v>
      </c>
      <c r="F39" s="115">
        <f t="shared" si="5"/>
        <v>0</v>
      </c>
      <c r="G39" s="11">
        <f>F39/D39</f>
        <v>0</v>
      </c>
      <c r="H39" s="224"/>
      <c r="J39" s="2"/>
      <c r="K39" s="2"/>
      <c r="L39" s="250"/>
      <c r="M39" s="250"/>
      <c r="N39" s="250"/>
      <c r="O39" s="250"/>
      <c r="P39" s="250" t="s">
        <v>122</v>
      </c>
      <c r="Q39" s="250"/>
      <c r="R39" s="250"/>
      <c r="S39" s="236">
        <v>0</v>
      </c>
      <c r="T39" s="236">
        <v>0</v>
      </c>
      <c r="U39" s="236">
        <v>0</v>
      </c>
      <c r="V39" s="237">
        <v>0</v>
      </c>
      <c r="X39" s="165"/>
      <c r="Y39" s="250"/>
      <c r="Z39" s="250"/>
      <c r="AA39" s="250"/>
      <c r="AB39" s="250"/>
      <c r="AC39" s="250"/>
      <c r="AD39" s="250" t="s">
        <v>131</v>
      </c>
      <c r="AE39" s="250"/>
      <c r="AF39" s="250"/>
      <c r="AG39" s="236">
        <v>550</v>
      </c>
      <c r="AH39" s="236">
        <v>1000</v>
      </c>
      <c r="AI39" s="236">
        <v>-450</v>
      </c>
      <c r="AJ39" s="237">
        <v>0.55000000000000004</v>
      </c>
    </row>
    <row r="40" spans="1:36" x14ac:dyDescent="0.25">
      <c r="A40" s="39" t="s">
        <v>35</v>
      </c>
      <c r="B40" s="115">
        <f>AG87</f>
        <v>121.55</v>
      </c>
      <c r="C40" s="121">
        <v>500</v>
      </c>
      <c r="D40" s="121">
        <v>650</v>
      </c>
      <c r="E40" s="420">
        <f>D40</f>
        <v>650</v>
      </c>
      <c r="F40" s="115">
        <f t="shared" si="5"/>
        <v>0</v>
      </c>
      <c r="G40" s="11">
        <f>F40/D40</f>
        <v>0</v>
      </c>
      <c r="H40" s="224"/>
      <c r="J40" s="2"/>
      <c r="K40" s="2"/>
      <c r="L40" s="250"/>
      <c r="M40" s="250"/>
      <c r="N40" s="250"/>
      <c r="O40" s="250"/>
      <c r="P40" s="250"/>
      <c r="Q40" s="250"/>
      <c r="R40" s="250"/>
      <c r="S40" s="236"/>
      <c r="T40" s="236"/>
      <c r="U40" s="236"/>
      <c r="V40" s="237"/>
      <c r="X40" s="165"/>
      <c r="Y40" s="250"/>
      <c r="Z40" s="250"/>
      <c r="AA40" s="250"/>
      <c r="AB40" s="250"/>
      <c r="AC40" s="250"/>
      <c r="AD40" s="250" t="s">
        <v>132</v>
      </c>
      <c r="AE40" s="250"/>
      <c r="AF40" s="250"/>
      <c r="AG40" s="236"/>
      <c r="AH40" s="236"/>
      <c r="AI40" s="236"/>
      <c r="AJ40" s="237"/>
    </row>
    <row r="41" spans="1:36" x14ac:dyDescent="0.25">
      <c r="A41" s="38" t="s">
        <v>43</v>
      </c>
      <c r="B41" s="115"/>
      <c r="C41" s="121"/>
      <c r="D41" s="121"/>
      <c r="E41" s="420"/>
      <c r="F41" s="115">
        <f t="shared" si="5"/>
        <v>0</v>
      </c>
      <c r="G41" s="11"/>
      <c r="H41" s="224"/>
      <c r="J41" s="2"/>
      <c r="K41" s="2"/>
      <c r="L41" s="250"/>
      <c r="M41" s="250"/>
      <c r="N41" s="250"/>
      <c r="O41" s="250"/>
      <c r="P41" s="250"/>
      <c r="Q41" s="250"/>
      <c r="R41" s="250"/>
      <c r="S41" s="236"/>
      <c r="T41" s="236"/>
      <c r="U41" s="236"/>
      <c r="V41" s="237"/>
      <c r="X41" s="165"/>
      <c r="Y41" s="250"/>
      <c r="Z41" s="250"/>
      <c r="AA41" s="250"/>
      <c r="AB41" s="250"/>
      <c r="AC41" s="250"/>
      <c r="AD41" s="250"/>
      <c r="AE41" s="250" t="s">
        <v>133</v>
      </c>
      <c r="AF41" s="250"/>
      <c r="AG41" s="236">
        <v>2328.19</v>
      </c>
      <c r="AH41" s="236">
        <v>833.34</v>
      </c>
      <c r="AI41" s="236">
        <v>1494.85</v>
      </c>
      <c r="AJ41" s="237">
        <v>2.7938100000000001</v>
      </c>
    </row>
    <row r="42" spans="1:36" x14ac:dyDescent="0.25">
      <c r="A42" s="39" t="s">
        <v>39</v>
      </c>
      <c r="B42" s="115">
        <f t="shared" ref="B42:B47" si="6">AG90</f>
        <v>3012.49</v>
      </c>
      <c r="C42" s="121">
        <f>B42+6500+1000</f>
        <v>10512.49</v>
      </c>
      <c r="D42" s="121">
        <v>22000</v>
      </c>
      <c r="E42" s="420">
        <v>10000</v>
      </c>
      <c r="F42" s="115">
        <f t="shared" si="5"/>
        <v>-12000</v>
      </c>
      <c r="G42" s="11">
        <f t="shared" ref="G42:G47" si="7">F42/D42</f>
        <v>-0.54545454545454541</v>
      </c>
      <c r="H42" s="224"/>
      <c r="J42" s="2"/>
      <c r="K42" s="2"/>
      <c r="L42" s="250"/>
      <c r="M42" s="250"/>
      <c r="N42" s="250"/>
      <c r="O42" s="250"/>
      <c r="P42" s="250"/>
      <c r="Q42" s="250"/>
      <c r="R42" s="250"/>
      <c r="S42" s="236"/>
      <c r="T42" s="236"/>
      <c r="U42" s="236"/>
      <c r="V42" s="237"/>
      <c r="X42" s="165"/>
      <c r="Y42" s="250"/>
      <c r="Z42" s="250"/>
      <c r="AA42" s="250"/>
      <c r="AB42" s="250"/>
      <c r="AC42" s="250"/>
      <c r="AD42" s="250"/>
      <c r="AE42" s="250" t="s">
        <v>134</v>
      </c>
      <c r="AF42" s="250"/>
      <c r="AG42" s="236">
        <v>92</v>
      </c>
      <c r="AH42" s="236"/>
      <c r="AI42" s="236"/>
      <c r="AJ42" s="237"/>
    </row>
    <row r="43" spans="1:36" x14ac:dyDescent="0.25">
      <c r="A43" s="39" t="s">
        <v>51</v>
      </c>
      <c r="B43" s="115">
        <f t="shared" si="6"/>
        <v>8584</v>
      </c>
      <c r="C43" s="121">
        <v>11400</v>
      </c>
      <c r="D43" s="121">
        <v>11400</v>
      </c>
      <c r="E43" s="420">
        <v>5000</v>
      </c>
      <c r="F43" s="115">
        <f t="shared" si="5"/>
        <v>-6400</v>
      </c>
      <c r="G43" s="11">
        <f t="shared" si="7"/>
        <v>-0.56140350877192979</v>
      </c>
      <c r="H43" s="224"/>
      <c r="L43" s="250"/>
      <c r="M43" s="250"/>
      <c r="N43" s="250"/>
      <c r="O43" s="250"/>
      <c r="P43" s="250"/>
      <c r="Q43" s="250"/>
      <c r="R43" s="250"/>
      <c r="S43" s="236"/>
      <c r="T43" s="236"/>
      <c r="U43" s="236"/>
      <c r="V43" s="237"/>
      <c r="X43" s="165"/>
      <c r="Y43" s="250"/>
      <c r="Z43" s="250"/>
      <c r="AA43" s="250"/>
      <c r="AB43" s="250"/>
      <c r="AC43" s="250"/>
      <c r="AD43" s="250"/>
      <c r="AE43" s="250" t="s">
        <v>135</v>
      </c>
      <c r="AF43" s="250"/>
      <c r="AG43" s="236">
        <v>1191.8</v>
      </c>
      <c r="AH43" s="236">
        <v>833.34</v>
      </c>
      <c r="AI43" s="236">
        <v>358.46</v>
      </c>
      <c r="AJ43" s="237">
        <v>1.43015</v>
      </c>
    </row>
    <row r="44" spans="1:36" x14ac:dyDescent="0.25">
      <c r="A44" s="39" t="s">
        <v>29</v>
      </c>
      <c r="B44" s="115">
        <f t="shared" si="6"/>
        <v>523.16999999999996</v>
      </c>
      <c r="C44" s="121">
        <v>4500</v>
      </c>
      <c r="D44" s="121">
        <v>4500</v>
      </c>
      <c r="E44" s="420">
        <v>5000</v>
      </c>
      <c r="F44" s="115">
        <f t="shared" si="5"/>
        <v>500</v>
      </c>
      <c r="G44" s="11">
        <f t="shared" si="7"/>
        <v>0.1111111111111111</v>
      </c>
      <c r="H44" s="224"/>
      <c r="L44" s="250"/>
      <c r="M44" s="250"/>
      <c r="N44" s="250"/>
      <c r="O44" s="250"/>
      <c r="P44" s="250"/>
      <c r="Q44" s="250"/>
      <c r="R44" s="250"/>
      <c r="S44" s="236"/>
      <c r="T44" s="236"/>
      <c r="U44" s="236"/>
      <c r="V44" s="237"/>
      <c r="X44" s="165"/>
      <c r="Y44" s="250"/>
      <c r="Z44" s="250"/>
      <c r="AA44" s="250"/>
      <c r="AB44" s="250"/>
      <c r="AC44" s="250"/>
      <c r="AD44" s="250"/>
      <c r="AE44" s="250" t="s">
        <v>136</v>
      </c>
      <c r="AF44" s="250"/>
      <c r="AG44" s="236">
        <v>2691.49</v>
      </c>
      <c r="AH44" s="236">
        <v>7000</v>
      </c>
      <c r="AI44" s="236">
        <v>-4308.51</v>
      </c>
      <c r="AJ44" s="237">
        <v>0.38450000000000001</v>
      </c>
    </row>
    <row r="45" spans="1:36" x14ac:dyDescent="0.25">
      <c r="A45" s="39" t="s">
        <v>36</v>
      </c>
      <c r="B45" s="115">
        <f t="shared" si="6"/>
        <v>4352</v>
      </c>
      <c r="C45" s="121">
        <f>B45*1.17</f>
        <v>5091.84</v>
      </c>
      <c r="D45" s="121">
        <v>4800</v>
      </c>
      <c r="E45" s="420">
        <v>7000</v>
      </c>
      <c r="F45" s="115">
        <f t="shared" si="5"/>
        <v>2200</v>
      </c>
      <c r="G45" s="11">
        <f t="shared" si="7"/>
        <v>0.45833333333333331</v>
      </c>
      <c r="H45" s="224"/>
      <c r="L45" s="250"/>
      <c r="M45" s="250"/>
      <c r="N45" s="250"/>
      <c r="O45" s="250"/>
      <c r="P45" s="250" t="s">
        <v>225</v>
      </c>
      <c r="Q45" s="250"/>
      <c r="R45" s="250"/>
      <c r="S45" s="236">
        <v>395.24</v>
      </c>
      <c r="T45" s="236">
        <v>750.01</v>
      </c>
      <c r="U45" s="236">
        <v>-354.77</v>
      </c>
      <c r="V45" s="237">
        <v>0.52698</v>
      </c>
      <c r="X45" s="165"/>
      <c r="Y45" s="250"/>
      <c r="Z45" s="250"/>
      <c r="AA45" s="250"/>
      <c r="AB45" s="250"/>
      <c r="AC45" s="250"/>
      <c r="AD45" s="250"/>
      <c r="AE45" s="250" t="s">
        <v>137</v>
      </c>
      <c r="AF45" s="250"/>
      <c r="AG45" s="236">
        <v>4218.5</v>
      </c>
      <c r="AH45" s="236">
        <v>2000</v>
      </c>
      <c r="AI45" s="236">
        <v>2218.5</v>
      </c>
      <c r="AJ45" s="237">
        <v>2.1092499999999998</v>
      </c>
    </row>
    <row r="46" spans="1:36" ht="15.75" thickBot="1" x14ac:dyDescent="0.3">
      <c r="A46" s="39" t="s">
        <v>40</v>
      </c>
      <c r="B46" s="143">
        <f t="shared" si="6"/>
        <v>11764.75</v>
      </c>
      <c r="C46" s="121">
        <f>B46-6500+8000</f>
        <v>13264.75</v>
      </c>
      <c r="D46" s="121">
        <v>6000</v>
      </c>
      <c r="E46" s="420">
        <f>D46</f>
        <v>6000</v>
      </c>
      <c r="F46" s="115">
        <f t="shared" si="5"/>
        <v>0</v>
      </c>
      <c r="G46" s="11">
        <f t="shared" si="7"/>
        <v>0</v>
      </c>
      <c r="H46" s="224"/>
      <c r="L46" s="250"/>
      <c r="M46" s="250"/>
      <c r="N46" s="250"/>
      <c r="O46" s="250"/>
      <c r="P46" s="250" t="s">
        <v>124</v>
      </c>
      <c r="Q46" s="250"/>
      <c r="R46" s="250"/>
      <c r="S46" s="236">
        <v>170.3</v>
      </c>
      <c r="T46" s="236">
        <v>900</v>
      </c>
      <c r="U46" s="236">
        <v>-729.7</v>
      </c>
      <c r="V46" s="237">
        <v>0.18922</v>
      </c>
      <c r="X46" s="165"/>
      <c r="Y46" s="250"/>
      <c r="Z46" s="250"/>
      <c r="AA46" s="250"/>
      <c r="AB46" s="250"/>
      <c r="AC46" s="250"/>
      <c r="AD46" s="250"/>
      <c r="AE46" s="250" t="s">
        <v>138</v>
      </c>
      <c r="AF46" s="250"/>
      <c r="AG46" s="238">
        <v>135.41</v>
      </c>
      <c r="AH46" s="238"/>
      <c r="AI46" s="238"/>
      <c r="AJ46" s="239"/>
    </row>
    <row r="47" spans="1:36" x14ac:dyDescent="0.25">
      <c r="A47" s="39" t="s">
        <v>37</v>
      </c>
      <c r="B47" s="144">
        <f t="shared" si="6"/>
        <v>17335.37</v>
      </c>
      <c r="C47" s="121">
        <f>B47*1.25</f>
        <v>21669.212499999998</v>
      </c>
      <c r="D47" s="121">
        <v>32000</v>
      </c>
      <c r="E47" s="420">
        <v>25000</v>
      </c>
      <c r="F47" s="115">
        <f t="shared" si="5"/>
        <v>-7000</v>
      </c>
      <c r="G47" s="11">
        <f t="shared" si="7"/>
        <v>-0.21875</v>
      </c>
      <c r="H47" s="224"/>
      <c r="L47" s="250"/>
      <c r="M47" s="250"/>
      <c r="N47" s="250"/>
      <c r="O47" s="250"/>
      <c r="P47" s="250"/>
      <c r="Q47" s="250"/>
      <c r="R47" s="250"/>
      <c r="S47" s="236"/>
      <c r="T47" s="236"/>
      <c r="U47" s="236"/>
      <c r="V47" s="237"/>
      <c r="X47" s="165"/>
      <c r="Y47" s="250"/>
      <c r="Z47" s="250"/>
      <c r="AA47" s="250"/>
      <c r="AB47" s="250"/>
      <c r="AC47" s="250"/>
      <c r="AD47" s="250" t="s">
        <v>139</v>
      </c>
      <c r="AE47" s="250"/>
      <c r="AF47" s="250"/>
      <c r="AG47" s="236">
        <v>10657.39</v>
      </c>
      <c r="AH47" s="236">
        <v>10666.68</v>
      </c>
      <c r="AI47" s="236">
        <v>-9.2899999999999991</v>
      </c>
      <c r="AJ47" s="237">
        <v>0.99912999999999996</v>
      </c>
    </row>
    <row r="48" spans="1:36" x14ac:dyDescent="0.25">
      <c r="A48" s="38" t="s">
        <v>42</v>
      </c>
      <c r="B48" s="115"/>
      <c r="C48" s="121"/>
      <c r="D48" s="121"/>
      <c r="E48" s="420"/>
      <c r="F48" s="115">
        <f t="shared" si="5"/>
        <v>0</v>
      </c>
      <c r="G48" s="11"/>
      <c r="H48" s="224"/>
      <c r="L48" s="250"/>
      <c r="M48" s="250"/>
      <c r="N48" s="250"/>
      <c r="O48" s="250"/>
      <c r="P48" s="250"/>
      <c r="Q48" s="250"/>
      <c r="R48" s="250"/>
      <c r="S48" s="236"/>
      <c r="T48" s="236"/>
      <c r="U48" s="236"/>
      <c r="V48" s="237"/>
      <c r="X48" s="165"/>
      <c r="Y48" s="250"/>
      <c r="Z48" s="250"/>
      <c r="AA48" s="250"/>
      <c r="AB48" s="250"/>
      <c r="AC48" s="250"/>
      <c r="AD48" s="250" t="s">
        <v>140</v>
      </c>
      <c r="AE48" s="250"/>
      <c r="AF48" s="250"/>
      <c r="AG48" s="236"/>
      <c r="AH48" s="236"/>
      <c r="AI48" s="236"/>
      <c r="AJ48" s="237"/>
    </row>
    <row r="49" spans="1:36" x14ac:dyDescent="0.25">
      <c r="A49" s="39" t="s">
        <v>41</v>
      </c>
      <c r="B49" s="144">
        <f>AG98</f>
        <v>995</v>
      </c>
      <c r="C49" s="121">
        <v>5000</v>
      </c>
      <c r="D49" s="121">
        <v>28000</v>
      </c>
      <c r="E49" s="420">
        <v>13000</v>
      </c>
      <c r="F49" s="115">
        <f t="shared" si="5"/>
        <v>-15000</v>
      </c>
      <c r="G49" s="11">
        <f t="shared" ref="G49:G55" si="8">F49/D49</f>
        <v>-0.5357142857142857</v>
      </c>
      <c r="H49" s="224"/>
      <c r="L49" s="250"/>
      <c r="M49" s="250"/>
      <c r="N49" s="250"/>
      <c r="O49" s="250"/>
      <c r="P49" s="250"/>
      <c r="Q49" s="250"/>
      <c r="R49" s="250"/>
      <c r="S49" s="236"/>
      <c r="T49" s="236"/>
      <c r="U49" s="236"/>
      <c r="V49" s="237"/>
      <c r="X49" s="165"/>
      <c r="Y49" s="250"/>
      <c r="Z49" s="250"/>
      <c r="AA49" s="250"/>
      <c r="AB49" s="250"/>
      <c r="AC49" s="250"/>
      <c r="AD49" s="250"/>
      <c r="AE49" s="250" t="s">
        <v>141</v>
      </c>
      <c r="AF49" s="250"/>
      <c r="AG49" s="236"/>
      <c r="AH49" s="236"/>
      <c r="AI49" s="236"/>
      <c r="AJ49" s="237"/>
    </row>
    <row r="50" spans="1:36" x14ac:dyDescent="0.25">
      <c r="A50" s="39" t="s">
        <v>28</v>
      </c>
      <c r="B50" s="115">
        <f>AG99</f>
        <v>331</v>
      </c>
      <c r="C50" s="121">
        <v>30000</v>
      </c>
      <c r="D50" s="121">
        <v>45000</v>
      </c>
      <c r="E50" s="420">
        <v>35000</v>
      </c>
      <c r="F50" s="115">
        <f t="shared" si="5"/>
        <v>-10000</v>
      </c>
      <c r="G50" s="11">
        <f t="shared" si="8"/>
        <v>-0.22222222222222221</v>
      </c>
      <c r="H50" s="224"/>
      <c r="L50" s="250"/>
      <c r="M50" s="250"/>
      <c r="N50" s="250"/>
      <c r="O50" s="250"/>
      <c r="P50" s="250" t="s">
        <v>125</v>
      </c>
      <c r="Q50" s="250"/>
      <c r="R50" s="250"/>
      <c r="S50" s="236"/>
      <c r="T50" s="236"/>
      <c r="U50" s="236"/>
      <c r="V50" s="237"/>
      <c r="X50" s="165"/>
      <c r="Y50" s="250"/>
      <c r="Z50" s="250"/>
      <c r="AA50" s="250"/>
      <c r="AB50" s="250"/>
      <c r="AC50" s="250"/>
      <c r="AD50" s="250"/>
      <c r="AE50" s="250"/>
      <c r="AF50" s="250" t="s">
        <v>142</v>
      </c>
      <c r="AG50" s="236">
        <v>0</v>
      </c>
      <c r="AH50" s="236">
        <v>61133.3</v>
      </c>
      <c r="AI50" s="236">
        <v>-61133.3</v>
      </c>
      <c r="AJ50" s="237">
        <v>0</v>
      </c>
    </row>
    <row r="51" spans="1:36" x14ac:dyDescent="0.25">
      <c r="A51" s="39" t="s">
        <v>38</v>
      </c>
      <c r="B51" s="144">
        <f>AG100</f>
        <v>1641.34</v>
      </c>
      <c r="C51" s="121">
        <f>B51+3000</f>
        <v>4641.34</v>
      </c>
      <c r="D51" s="121">
        <v>6500</v>
      </c>
      <c r="E51" s="420">
        <v>0</v>
      </c>
      <c r="F51" s="115">
        <f t="shared" si="5"/>
        <v>-6500</v>
      </c>
      <c r="G51" s="11">
        <f t="shared" si="8"/>
        <v>-1</v>
      </c>
      <c r="H51" s="224"/>
      <c r="L51" s="250"/>
      <c r="M51" s="250"/>
      <c r="N51" s="250"/>
      <c r="O51" s="250"/>
      <c r="P51" s="250"/>
      <c r="Q51" s="250" t="s">
        <v>126</v>
      </c>
      <c r="R51" s="250"/>
      <c r="S51" s="236">
        <v>2246.23</v>
      </c>
      <c r="T51" s="236">
        <v>1000</v>
      </c>
      <c r="U51" s="236">
        <v>1246.23</v>
      </c>
      <c r="V51" s="237">
        <v>2.2462300000000002</v>
      </c>
      <c r="X51" s="165"/>
      <c r="Y51" s="250"/>
      <c r="Z51" s="250"/>
      <c r="AA51" s="250"/>
      <c r="AB51" s="250"/>
      <c r="AC51" s="250"/>
      <c r="AD51" s="250"/>
      <c r="AE51" s="250"/>
      <c r="AF51" s="250" t="s">
        <v>143</v>
      </c>
      <c r="AG51" s="236">
        <v>11847.52</v>
      </c>
      <c r="AH51" s="236">
        <v>11004</v>
      </c>
      <c r="AI51" s="236">
        <v>843.52</v>
      </c>
      <c r="AJ51" s="237">
        <v>1.07666</v>
      </c>
    </row>
    <row r="52" spans="1:36" x14ac:dyDescent="0.25">
      <c r="A52" s="39" t="s">
        <v>52</v>
      </c>
      <c r="B52" s="144">
        <f>AG101+AG106</f>
        <v>1408.0700000000002</v>
      </c>
      <c r="C52" s="121">
        <f>B52</f>
        <v>1408.0700000000002</v>
      </c>
      <c r="D52" s="121">
        <v>5000</v>
      </c>
      <c r="E52" s="420">
        <f>C52</f>
        <v>1408.0700000000002</v>
      </c>
      <c r="F52" s="115">
        <f t="shared" si="5"/>
        <v>-3591.93</v>
      </c>
      <c r="G52" s="11">
        <f t="shared" si="8"/>
        <v>-0.71838599999999997</v>
      </c>
      <c r="H52" s="224"/>
      <c r="L52" s="250"/>
      <c r="M52" s="250"/>
      <c r="N52" s="250"/>
      <c r="O52" s="250"/>
      <c r="P52" s="250"/>
      <c r="Q52" s="250" t="s">
        <v>127</v>
      </c>
      <c r="R52" s="250"/>
      <c r="S52" s="236">
        <v>0</v>
      </c>
      <c r="T52" s="236">
        <v>0</v>
      </c>
      <c r="U52" s="236">
        <v>0</v>
      </c>
      <c r="V52" s="237">
        <v>0</v>
      </c>
      <c r="X52" s="165"/>
      <c r="Y52" s="250"/>
      <c r="Z52" s="250"/>
      <c r="AA52" s="250"/>
      <c r="AB52" s="250"/>
      <c r="AC52" s="250"/>
      <c r="AD52" s="250"/>
      <c r="AE52" s="250"/>
      <c r="AF52" s="250" t="s">
        <v>144</v>
      </c>
      <c r="AG52" s="236">
        <v>115663.39</v>
      </c>
      <c r="AH52" s="236">
        <v>36904.199999999997</v>
      </c>
      <c r="AI52" s="236">
        <v>78759.19</v>
      </c>
      <c r="AJ52" s="237">
        <v>3.13415</v>
      </c>
    </row>
    <row r="53" spans="1:36" ht="15.75" thickBot="1" x14ac:dyDescent="0.3">
      <c r="A53" s="39" t="s">
        <v>53</v>
      </c>
      <c r="B53" s="115">
        <f>AG102</f>
        <v>103.05</v>
      </c>
      <c r="C53" s="121">
        <v>1400</v>
      </c>
      <c r="D53" s="121">
        <v>2000</v>
      </c>
      <c r="E53" s="420">
        <f>C53</f>
        <v>1400</v>
      </c>
      <c r="F53" s="115">
        <f t="shared" si="5"/>
        <v>-600</v>
      </c>
      <c r="G53" s="11">
        <f t="shared" si="8"/>
        <v>-0.3</v>
      </c>
      <c r="H53" s="224"/>
      <c r="L53" s="250"/>
      <c r="M53" s="250"/>
      <c r="N53" s="250"/>
      <c r="O53" s="250"/>
      <c r="P53" s="250"/>
      <c r="Q53" s="250" t="s">
        <v>128</v>
      </c>
      <c r="R53" s="250"/>
      <c r="S53" s="236">
        <v>2653.35</v>
      </c>
      <c r="T53" s="236">
        <v>6000</v>
      </c>
      <c r="U53" s="236">
        <v>-3346.65</v>
      </c>
      <c r="V53" s="237">
        <v>0.44223000000000001</v>
      </c>
      <c r="X53" s="165"/>
      <c r="Y53" s="250"/>
      <c r="Z53" s="250"/>
      <c r="AA53" s="250"/>
      <c r="AB53" s="250"/>
      <c r="AC53" s="250"/>
      <c r="AD53" s="250"/>
      <c r="AE53" s="250"/>
      <c r="AF53" s="250" t="s">
        <v>145</v>
      </c>
      <c r="AG53" s="238">
        <v>0</v>
      </c>
      <c r="AH53" s="238">
        <v>30223.74</v>
      </c>
      <c r="AI53" s="238">
        <v>-30223.74</v>
      </c>
      <c r="AJ53" s="239">
        <v>0</v>
      </c>
    </row>
    <row r="54" spans="1:36" ht="15.75" thickBot="1" x14ac:dyDescent="0.3">
      <c r="A54" s="39" t="s">
        <v>20</v>
      </c>
      <c r="B54" s="115">
        <f>AG105</f>
        <v>2316.59</v>
      </c>
      <c r="C54" s="122">
        <v>3500</v>
      </c>
      <c r="D54" s="121">
        <v>4000</v>
      </c>
      <c r="E54" s="420">
        <f>D54</f>
        <v>4000</v>
      </c>
      <c r="F54" s="115">
        <f t="shared" si="5"/>
        <v>0</v>
      </c>
      <c r="G54" s="11">
        <f t="shared" si="8"/>
        <v>0</v>
      </c>
      <c r="H54" s="224"/>
      <c r="L54" s="250"/>
      <c r="M54" s="250"/>
      <c r="N54" s="250"/>
      <c r="O54" s="250"/>
      <c r="P54" s="250"/>
      <c r="Q54" s="250" t="s">
        <v>129</v>
      </c>
      <c r="R54" s="250"/>
      <c r="S54" s="238">
        <v>0</v>
      </c>
      <c r="T54" s="238">
        <v>3000</v>
      </c>
      <c r="U54" s="238">
        <v>-3000</v>
      </c>
      <c r="V54" s="239">
        <v>0</v>
      </c>
      <c r="X54" s="165"/>
      <c r="Y54" s="250"/>
      <c r="Z54" s="250"/>
      <c r="AA54" s="250"/>
      <c r="AB54" s="250"/>
      <c r="AC54" s="250"/>
      <c r="AD54" s="250"/>
      <c r="AE54" s="250" t="s">
        <v>146</v>
      </c>
      <c r="AF54" s="250"/>
      <c r="AG54" s="236">
        <v>127510.91</v>
      </c>
      <c r="AH54" s="236">
        <v>139265.24</v>
      </c>
      <c r="AI54" s="236">
        <v>-11754.33</v>
      </c>
      <c r="AJ54" s="237">
        <v>0.91559999999999997</v>
      </c>
    </row>
    <row r="55" spans="1:36" ht="16.5" thickBot="1" x14ac:dyDescent="0.3">
      <c r="A55" s="53" t="s">
        <v>47</v>
      </c>
      <c r="B55" s="115">
        <f>SUM(B35:B54)</f>
        <v>53687.430000000008</v>
      </c>
      <c r="C55" s="154">
        <f>SUM(C37:C54)</f>
        <v>115887.7025</v>
      </c>
      <c r="D55" s="154">
        <v>175350</v>
      </c>
      <c r="E55" s="439">
        <f>SUM(E37:E54)</f>
        <v>116958.07</v>
      </c>
      <c r="F55" s="138">
        <f t="shared" si="5"/>
        <v>-58391.929999999993</v>
      </c>
      <c r="G55" s="52">
        <f t="shared" si="8"/>
        <v>-0.33300216709438263</v>
      </c>
      <c r="H55" s="224"/>
      <c r="L55" s="250"/>
      <c r="M55" s="250"/>
      <c r="N55" s="250"/>
      <c r="O55" s="250"/>
      <c r="P55" s="250"/>
      <c r="Q55" s="250"/>
      <c r="R55" s="250"/>
      <c r="S55" s="236"/>
      <c r="T55" s="236"/>
      <c r="U55" s="236"/>
      <c r="V55" s="237"/>
      <c r="X55" s="165"/>
      <c r="Y55" s="250"/>
      <c r="Z55" s="250"/>
      <c r="AA55" s="250"/>
      <c r="AB55" s="250"/>
      <c r="AC55" s="250"/>
      <c r="AD55" s="250"/>
      <c r="AE55" s="250" t="s">
        <v>147</v>
      </c>
      <c r="AF55" s="250"/>
      <c r="AG55" s="236"/>
      <c r="AH55" s="236"/>
      <c r="AI55" s="236"/>
      <c r="AJ55" s="237"/>
    </row>
    <row r="56" spans="1:36" ht="16.5" thickBot="1" x14ac:dyDescent="0.3">
      <c r="A56" s="228"/>
      <c r="B56" s="193">
        <f>B55-AG107</f>
        <v>359.34000000001106</v>
      </c>
      <c r="C56" s="156"/>
      <c r="D56" s="156"/>
      <c r="E56" s="326"/>
      <c r="F56" s="138"/>
      <c r="G56" s="50"/>
      <c r="H56" s="224"/>
      <c r="L56" s="250"/>
      <c r="M56" s="250"/>
      <c r="N56" s="250"/>
      <c r="O56" s="250"/>
      <c r="P56" s="250" t="s">
        <v>130</v>
      </c>
      <c r="Q56" s="250"/>
      <c r="R56" s="250"/>
      <c r="S56" s="236">
        <v>4899.58</v>
      </c>
      <c r="T56" s="236">
        <v>10000</v>
      </c>
      <c r="U56" s="236">
        <v>-5100.42</v>
      </c>
      <c r="V56" s="237">
        <v>0.48996000000000001</v>
      </c>
      <c r="X56" s="165"/>
      <c r="Y56" s="250"/>
      <c r="Z56" s="250"/>
      <c r="AA56" s="250"/>
      <c r="AB56" s="250"/>
      <c r="AC56" s="250"/>
      <c r="AD56" s="250"/>
      <c r="AE56" s="250"/>
      <c r="AF56" s="250" t="s">
        <v>148</v>
      </c>
      <c r="AG56" s="238">
        <v>21022.799999999999</v>
      </c>
      <c r="AH56" s="238">
        <v>20720</v>
      </c>
      <c r="AI56" s="238">
        <v>302.8</v>
      </c>
      <c r="AJ56" s="239">
        <v>1.01461</v>
      </c>
    </row>
    <row r="57" spans="1:36" ht="16.5" thickBot="1" x14ac:dyDescent="0.3">
      <c r="A57" s="57" t="s">
        <v>65</v>
      </c>
      <c r="B57" s="115">
        <f>AG108+20000</f>
        <v>189170</v>
      </c>
      <c r="C57" s="157">
        <f>D57</f>
        <v>203148</v>
      </c>
      <c r="D57" s="157">
        <v>203148</v>
      </c>
      <c r="E57" s="443">
        <v>225000</v>
      </c>
      <c r="F57" s="138">
        <f>E57-D57</f>
        <v>21852</v>
      </c>
      <c r="G57" s="28">
        <f>F57/D57</f>
        <v>0.10756689704058126</v>
      </c>
      <c r="H57" s="229" t="s">
        <v>237</v>
      </c>
      <c r="I57" s="214"/>
      <c r="J57" s="214"/>
      <c r="K57" s="214"/>
      <c r="L57" s="250"/>
      <c r="M57" s="250"/>
      <c r="N57" s="250"/>
      <c r="O57" s="250"/>
      <c r="P57" s="250"/>
      <c r="Q57" s="250"/>
      <c r="R57" s="250"/>
      <c r="S57" s="236"/>
      <c r="T57" s="236"/>
      <c r="U57" s="236"/>
      <c r="V57" s="237"/>
      <c r="X57" s="165"/>
      <c r="Y57" s="250"/>
      <c r="Z57" s="250"/>
      <c r="AA57" s="250"/>
      <c r="AB57" s="250"/>
      <c r="AC57" s="250"/>
      <c r="AD57" s="250"/>
      <c r="AE57" s="250" t="s">
        <v>149</v>
      </c>
      <c r="AF57" s="250"/>
      <c r="AG57" s="236">
        <v>21022.799999999999</v>
      </c>
      <c r="AH57" s="236">
        <v>20720</v>
      </c>
      <c r="AI57" s="236">
        <v>302.8</v>
      </c>
      <c r="AJ57" s="237">
        <v>1.01461</v>
      </c>
    </row>
    <row r="58" spans="1:36" ht="16.5" thickBot="1" x14ac:dyDescent="0.3">
      <c r="A58" s="65"/>
      <c r="B58" s="115"/>
      <c r="C58" s="158"/>
      <c r="D58" s="158"/>
      <c r="E58" s="158"/>
      <c r="F58" s="173"/>
      <c r="G58" s="52"/>
      <c r="H58" s="224"/>
      <c r="L58" s="250"/>
      <c r="M58" s="250"/>
      <c r="N58" s="250"/>
      <c r="O58" s="250"/>
      <c r="P58" s="250"/>
      <c r="Q58" s="250"/>
      <c r="R58" s="250"/>
      <c r="S58" s="236"/>
      <c r="T58" s="236"/>
      <c r="U58" s="236"/>
      <c r="V58" s="237"/>
      <c r="X58" s="165"/>
      <c r="Y58" s="250"/>
      <c r="Z58" s="250"/>
      <c r="AA58" s="250"/>
      <c r="AB58" s="250"/>
      <c r="AC58" s="250"/>
      <c r="AD58" s="250"/>
      <c r="AE58" s="250" t="s">
        <v>150</v>
      </c>
      <c r="AF58" s="250"/>
      <c r="AG58" s="236"/>
      <c r="AH58" s="236"/>
      <c r="AI58" s="236"/>
      <c r="AJ58" s="237"/>
    </row>
    <row r="59" spans="1:36" ht="18" x14ac:dyDescent="0.25">
      <c r="A59" s="63" t="s">
        <v>14</v>
      </c>
      <c r="B59" s="115">
        <f>B57+B55+B33</f>
        <v>433161.70999999996</v>
      </c>
      <c r="C59" s="118" t="e">
        <f>C33+C55+C57</f>
        <v>#REF!</v>
      </c>
      <c r="D59" s="118">
        <v>640048</v>
      </c>
      <c r="E59" s="444">
        <f>E33+E55+E57</f>
        <v>796658.07000000007</v>
      </c>
      <c r="F59" s="115">
        <f>E59-D59</f>
        <v>156610.07000000007</v>
      </c>
      <c r="G59" s="11">
        <f>F59/D59</f>
        <v>0.24468488300877445</v>
      </c>
      <c r="H59" s="224"/>
      <c r="L59" s="250"/>
      <c r="M59" s="250"/>
      <c r="N59" s="250"/>
      <c r="O59" s="250"/>
      <c r="P59" s="250"/>
      <c r="Q59" s="250"/>
      <c r="R59" s="250"/>
      <c r="S59" s="236"/>
      <c r="T59" s="236"/>
      <c r="U59" s="236"/>
      <c r="V59" s="237"/>
      <c r="X59" s="165"/>
      <c r="Y59" s="250"/>
      <c r="Z59" s="250"/>
      <c r="AA59" s="250"/>
      <c r="AB59" s="250"/>
      <c r="AC59" s="250"/>
      <c r="AD59" s="250"/>
      <c r="AE59" s="250"/>
      <c r="AF59" s="250" t="s">
        <v>151</v>
      </c>
      <c r="AG59" s="236">
        <v>181.14</v>
      </c>
      <c r="AH59" s="236">
        <v>299.10000000000002</v>
      </c>
      <c r="AI59" s="236">
        <v>-117.96</v>
      </c>
      <c r="AJ59" s="237">
        <v>0.60562000000000005</v>
      </c>
    </row>
    <row r="60" spans="1:36" ht="18.75" thickBot="1" x14ac:dyDescent="0.3">
      <c r="A60" s="59" t="s">
        <v>64</v>
      </c>
      <c r="B60" s="230">
        <f>B16</f>
        <v>552966.27999999991</v>
      </c>
      <c r="C60" s="119">
        <f>C16</f>
        <v>744587.1017</v>
      </c>
      <c r="D60" s="119">
        <v>747730</v>
      </c>
      <c r="E60" s="446">
        <f>E16</f>
        <v>1085360</v>
      </c>
      <c r="F60" s="115">
        <f>E60-D60</f>
        <v>337630</v>
      </c>
      <c r="G60" s="12">
        <f>F60/D60</f>
        <v>0.45153999438299919</v>
      </c>
      <c r="H60" s="224"/>
      <c r="L60" s="250"/>
      <c r="M60" s="250"/>
      <c r="N60" s="250"/>
      <c r="O60" s="250"/>
      <c r="P60" s="250"/>
      <c r="Q60" s="250"/>
      <c r="R60" s="250"/>
      <c r="S60" s="236"/>
      <c r="T60" s="236"/>
      <c r="U60" s="236"/>
      <c r="V60" s="237"/>
      <c r="X60" s="165"/>
      <c r="Y60" s="250"/>
      <c r="Z60" s="250"/>
      <c r="AA60" s="250"/>
      <c r="AB60" s="250"/>
      <c r="AC60" s="250"/>
      <c r="AD60" s="250"/>
      <c r="AE60" s="250"/>
      <c r="AF60" s="250" t="s">
        <v>152</v>
      </c>
      <c r="AG60" s="236">
        <v>1674.64</v>
      </c>
      <c r="AH60" s="236">
        <v>1954.4</v>
      </c>
      <c r="AI60" s="236">
        <v>-279.76</v>
      </c>
      <c r="AJ60" s="237">
        <v>0.85685999999999996</v>
      </c>
    </row>
    <row r="61" spans="1:36" ht="21" thickBot="1" x14ac:dyDescent="0.35">
      <c r="A61" s="67" t="s">
        <v>59</v>
      </c>
      <c r="B61" s="115">
        <f>B16-B59</f>
        <v>119804.56999999995</v>
      </c>
      <c r="C61" s="159" t="e">
        <f>C60-C59</f>
        <v>#REF!</v>
      </c>
      <c r="D61" s="159">
        <v>107682</v>
      </c>
      <c r="E61" s="104"/>
      <c r="F61" s="138">
        <f>E61-D61</f>
        <v>-107682</v>
      </c>
      <c r="G61" s="28">
        <f>F61/D61</f>
        <v>-1</v>
      </c>
      <c r="H61" s="224"/>
      <c r="L61" s="250"/>
      <c r="M61" s="250"/>
      <c r="N61" s="250"/>
      <c r="O61" s="250"/>
      <c r="P61" s="250" t="s">
        <v>131</v>
      </c>
      <c r="Q61" s="250"/>
      <c r="R61" s="250"/>
      <c r="S61" s="236">
        <v>550</v>
      </c>
      <c r="T61" s="236">
        <v>1000</v>
      </c>
      <c r="U61" s="236">
        <v>-450</v>
      </c>
      <c r="V61" s="237">
        <v>0.55000000000000004</v>
      </c>
      <c r="X61" s="165"/>
      <c r="Y61" s="250"/>
      <c r="Z61" s="250"/>
      <c r="AA61" s="250"/>
      <c r="AB61" s="250"/>
      <c r="AC61" s="250"/>
      <c r="AD61" s="250"/>
      <c r="AE61" s="250"/>
      <c r="AF61" s="250" t="s">
        <v>153</v>
      </c>
      <c r="AG61" s="236">
        <v>7160.58</v>
      </c>
      <c r="AH61" s="236">
        <v>7119.5</v>
      </c>
      <c r="AI61" s="236">
        <v>41.08</v>
      </c>
      <c r="AJ61" s="237">
        <v>1.0057700000000001</v>
      </c>
    </row>
    <row r="62" spans="1:36" ht="16.5" thickBot="1" x14ac:dyDescent="0.3">
      <c r="A62" s="69"/>
      <c r="B62" s="115"/>
      <c r="C62" s="175"/>
      <c r="D62" s="175"/>
      <c r="E62" s="443">
        <f>E60-E59</f>
        <v>288701.92999999993</v>
      </c>
      <c r="F62" s="167"/>
      <c r="G62" s="28"/>
      <c r="H62" s="224"/>
      <c r="L62" s="250"/>
      <c r="M62" s="250"/>
      <c r="N62" s="250"/>
      <c r="O62" s="250"/>
      <c r="P62" s="250"/>
      <c r="Q62" s="250"/>
      <c r="R62" s="250"/>
      <c r="S62" s="236"/>
      <c r="T62" s="236"/>
      <c r="U62" s="236"/>
      <c r="V62" s="237"/>
      <c r="X62" s="165"/>
      <c r="Y62" s="250"/>
      <c r="Z62" s="250"/>
      <c r="AA62" s="250"/>
      <c r="AB62" s="250"/>
      <c r="AC62" s="250"/>
      <c r="AD62" s="250"/>
      <c r="AE62" s="250"/>
      <c r="AF62" s="250" t="s">
        <v>154</v>
      </c>
      <c r="AG62" s="236">
        <v>88.95</v>
      </c>
      <c r="AH62" s="236">
        <v>279.2</v>
      </c>
      <c r="AI62" s="236">
        <v>-190.25</v>
      </c>
      <c r="AJ62" s="237">
        <v>0.31858999999999998</v>
      </c>
    </row>
    <row r="63" spans="1:36" ht="16.5" thickBot="1" x14ac:dyDescent="0.3">
      <c r="A63" s="70" t="s">
        <v>67</v>
      </c>
      <c r="B63" s="115"/>
      <c r="C63" s="114"/>
      <c r="D63" s="114">
        <v>0</v>
      </c>
      <c r="E63" s="447">
        <f>E60-E62-E59</f>
        <v>0</v>
      </c>
      <c r="F63" s="115">
        <f>E63-D63</f>
        <v>0</v>
      </c>
      <c r="G63" s="28"/>
      <c r="H63" s="224"/>
      <c r="L63" s="250"/>
      <c r="M63" s="250"/>
      <c r="N63" s="250"/>
      <c r="O63" s="250"/>
      <c r="P63" s="250" t="s">
        <v>132</v>
      </c>
      <c r="Q63" s="250"/>
      <c r="R63" s="250"/>
      <c r="S63" s="236"/>
      <c r="T63" s="236"/>
      <c r="U63" s="236"/>
      <c r="V63" s="237"/>
      <c r="X63" s="165"/>
      <c r="Y63" s="250"/>
      <c r="Z63" s="250"/>
      <c r="AA63" s="250"/>
      <c r="AB63" s="250"/>
      <c r="AC63" s="250"/>
      <c r="AD63" s="250"/>
      <c r="AE63" s="250"/>
      <c r="AF63" s="250" t="s">
        <v>155</v>
      </c>
      <c r="AG63" s="236">
        <v>0</v>
      </c>
      <c r="AH63" s="236">
        <v>193.22</v>
      </c>
      <c r="AI63" s="236">
        <v>-193.22</v>
      </c>
      <c r="AJ63" s="237">
        <v>0</v>
      </c>
    </row>
    <row r="64" spans="1:36" ht="16.5" thickBot="1" x14ac:dyDescent="0.3">
      <c r="A64" s="70" t="s">
        <v>66</v>
      </c>
      <c r="B64" s="115"/>
      <c r="C64" s="116" t="e">
        <f>C61-D61+D64</f>
        <v>#REF!</v>
      </c>
      <c r="D64" s="126">
        <v>107682</v>
      </c>
      <c r="E64" s="215">
        <f>E61</f>
        <v>0</v>
      </c>
      <c r="F64" s="115">
        <f>E64-D64</f>
        <v>-107682</v>
      </c>
      <c r="G64" s="11">
        <f>F64/D64</f>
        <v>-1</v>
      </c>
      <c r="H64" s="224"/>
      <c r="J64">
        <f>SUM(J66:J68)</f>
        <v>192690</v>
      </c>
      <c r="L64" s="250"/>
      <c r="M64" s="250"/>
      <c r="N64" s="250"/>
      <c r="O64" s="250"/>
      <c r="P64" s="250"/>
      <c r="Q64" s="250" t="s">
        <v>133</v>
      </c>
      <c r="R64" s="250"/>
      <c r="S64" s="236">
        <v>2085.44</v>
      </c>
      <c r="T64" s="236">
        <v>750.01</v>
      </c>
      <c r="U64" s="236">
        <v>1335.43</v>
      </c>
      <c r="V64" s="237">
        <v>2.7805499999999999</v>
      </c>
      <c r="X64" s="165"/>
      <c r="Y64" s="250"/>
      <c r="Z64" s="250"/>
      <c r="AA64" s="250"/>
      <c r="AB64" s="250"/>
      <c r="AC64" s="250"/>
      <c r="AD64" s="250"/>
      <c r="AE64" s="250" t="s">
        <v>156</v>
      </c>
      <c r="AF64" s="250"/>
      <c r="AG64" s="242">
        <v>9105.31</v>
      </c>
      <c r="AH64" s="242">
        <v>9845.42</v>
      </c>
      <c r="AI64" s="242">
        <v>-740.11</v>
      </c>
      <c r="AJ64" s="243">
        <v>0.92483000000000004</v>
      </c>
    </row>
    <row r="65" spans="1:36" ht="16.5" thickBot="1" x14ac:dyDescent="0.3">
      <c r="A65" s="70" t="s">
        <v>68</v>
      </c>
      <c r="B65" s="115"/>
      <c r="C65" s="117">
        <v>0</v>
      </c>
      <c r="D65" s="117">
        <v>0</v>
      </c>
      <c r="E65" s="134"/>
      <c r="F65" s="115">
        <f>E65-D65</f>
        <v>0</v>
      </c>
      <c r="G65" s="12"/>
      <c r="H65" s="224"/>
      <c r="L65" s="250"/>
      <c r="M65" s="250"/>
      <c r="N65" s="250"/>
      <c r="O65" s="250"/>
      <c r="P65" s="250"/>
      <c r="Q65" s="250" t="s">
        <v>134</v>
      </c>
      <c r="R65" s="250"/>
      <c r="S65" s="236">
        <v>92</v>
      </c>
      <c r="T65" s="236"/>
      <c r="U65" s="236"/>
      <c r="V65" s="237"/>
      <c r="X65" s="165"/>
      <c r="Y65" s="250"/>
      <c r="Z65" s="250"/>
      <c r="AA65" s="250"/>
      <c r="AB65" s="250"/>
      <c r="AC65" s="250"/>
      <c r="AD65" s="250" t="s">
        <v>157</v>
      </c>
      <c r="AE65" s="250"/>
      <c r="AF65" s="250"/>
      <c r="AG65" s="236">
        <v>157639.01999999999</v>
      </c>
      <c r="AH65" s="236">
        <v>169830.66</v>
      </c>
      <c r="AI65" s="236">
        <v>-12191.64</v>
      </c>
      <c r="AJ65" s="237">
        <v>0.92820999999999998</v>
      </c>
    </row>
    <row r="66" spans="1:36" ht="21" thickBot="1" x14ac:dyDescent="0.35">
      <c r="A66" s="61" t="s">
        <v>56</v>
      </c>
      <c r="B66" s="115"/>
      <c r="C66" s="176" t="e">
        <f>C61-(C63+C64+C65)</f>
        <v>#REF!</v>
      </c>
      <c r="D66" s="176">
        <v>0</v>
      </c>
      <c r="E66" s="177">
        <f>E61-(E63+E64+E65)</f>
        <v>0</v>
      </c>
      <c r="F66" s="138">
        <f>E66-D66</f>
        <v>0</v>
      </c>
      <c r="G66" s="12"/>
      <c r="H66" s="224"/>
      <c r="I66">
        <v>5</v>
      </c>
      <c r="J66">
        <f>I66*5271</f>
        <v>26355</v>
      </c>
      <c r="L66" s="250"/>
      <c r="M66" s="250"/>
      <c r="N66" s="250"/>
      <c r="O66" s="250"/>
      <c r="P66" s="250"/>
      <c r="Q66" s="250"/>
      <c r="R66" s="250"/>
      <c r="S66" s="236"/>
      <c r="T66" s="236"/>
      <c r="U66" s="236"/>
      <c r="V66" s="237"/>
      <c r="X66" s="165"/>
      <c r="Y66" s="250"/>
      <c r="Z66" s="250"/>
      <c r="AA66" s="250"/>
      <c r="AB66" s="250"/>
      <c r="AC66" s="250"/>
      <c r="AD66" s="250" t="s">
        <v>158</v>
      </c>
      <c r="AE66" s="250"/>
      <c r="AF66" s="250"/>
      <c r="AG66" s="236"/>
      <c r="AH66" s="236"/>
      <c r="AI66" s="236"/>
      <c r="AJ66" s="237"/>
    </row>
    <row r="67" spans="1:36" ht="15.75" thickBot="1" x14ac:dyDescent="0.3">
      <c r="A67" s="231"/>
      <c r="B67" s="115"/>
      <c r="C67" s="178"/>
      <c r="D67" s="178"/>
      <c r="E67" s="180"/>
      <c r="F67" s="179"/>
      <c r="G67" s="14"/>
      <c r="H67" s="224"/>
      <c r="I67">
        <v>25</v>
      </c>
      <c r="J67">
        <f>I67*5271</f>
        <v>131775</v>
      </c>
      <c r="L67" s="250"/>
      <c r="M67" s="250"/>
      <c r="N67" s="250"/>
      <c r="O67" s="250"/>
      <c r="P67" s="250"/>
      <c r="Q67" s="250" t="s">
        <v>135</v>
      </c>
      <c r="R67" s="250"/>
      <c r="S67" s="236">
        <v>1191.8</v>
      </c>
      <c r="T67" s="236">
        <v>750.01</v>
      </c>
      <c r="U67" s="236">
        <v>441.79</v>
      </c>
      <c r="V67" s="237">
        <v>1.5890500000000001</v>
      </c>
      <c r="X67" s="165"/>
      <c r="Y67" s="250"/>
      <c r="Z67" s="250"/>
      <c r="AA67" s="250"/>
      <c r="AB67" s="250"/>
      <c r="AC67" s="250"/>
      <c r="AD67" s="250"/>
      <c r="AE67" s="250" t="s">
        <v>159</v>
      </c>
      <c r="AF67" s="250"/>
      <c r="AG67" s="236">
        <v>7355</v>
      </c>
      <c r="AH67" s="236">
        <v>2200</v>
      </c>
      <c r="AI67" s="236">
        <v>5155</v>
      </c>
      <c r="AJ67" s="237">
        <v>3.3431799999999998</v>
      </c>
    </row>
    <row r="68" spans="1:36" ht="15.75" x14ac:dyDescent="0.25">
      <c r="A68" s="16" t="s">
        <v>10</v>
      </c>
      <c r="B68" s="115"/>
      <c r="C68" s="152" t="str">
        <f>C18</f>
        <v>2020</v>
      </c>
      <c r="D68" s="152" t="s">
        <v>82</v>
      </c>
      <c r="E68" s="182" t="s">
        <v>93</v>
      </c>
      <c r="F68" s="181"/>
      <c r="G68" s="100"/>
      <c r="H68" s="224"/>
      <c r="I68">
        <v>10</v>
      </c>
      <c r="J68">
        <f>I68*3456</f>
        <v>34560</v>
      </c>
      <c r="L68" s="250"/>
      <c r="M68" s="250"/>
      <c r="N68" s="250"/>
      <c r="O68" s="250"/>
      <c r="P68" s="250"/>
      <c r="Q68" s="250" t="s">
        <v>136</v>
      </c>
      <c r="R68" s="250"/>
      <c r="S68" s="236">
        <v>2607.54</v>
      </c>
      <c r="T68" s="236">
        <v>6000</v>
      </c>
      <c r="U68" s="236">
        <v>-3392.46</v>
      </c>
      <c r="V68" s="237">
        <v>0.43458999999999998</v>
      </c>
      <c r="X68" s="165"/>
      <c r="Y68" s="250"/>
      <c r="Z68" s="250"/>
      <c r="AA68" s="250"/>
      <c r="AB68" s="250"/>
      <c r="AC68" s="250"/>
      <c r="AD68" s="250"/>
      <c r="AE68" s="250" t="s">
        <v>160</v>
      </c>
      <c r="AF68" s="250"/>
      <c r="AG68" s="236">
        <v>0</v>
      </c>
      <c r="AH68" s="236">
        <v>1000</v>
      </c>
      <c r="AI68" s="236">
        <v>-1000</v>
      </c>
      <c r="AJ68" s="237">
        <v>0</v>
      </c>
    </row>
    <row r="69" spans="1:36" ht="16.5" thickBot="1" x14ac:dyDescent="0.3">
      <c r="A69" s="25"/>
      <c r="B69" s="115"/>
      <c r="C69" s="183" t="s">
        <v>88</v>
      </c>
      <c r="D69" s="183" t="s">
        <v>12</v>
      </c>
      <c r="E69" s="185"/>
      <c r="F69" s="184" t="s">
        <v>0</v>
      </c>
      <c r="G69" s="101" t="s">
        <v>9</v>
      </c>
      <c r="H69" s="224"/>
      <c r="L69" s="250"/>
      <c r="M69" s="250"/>
      <c r="N69" s="250"/>
      <c r="O69" s="250"/>
      <c r="P69" s="250"/>
      <c r="Q69" s="250"/>
      <c r="R69" s="250"/>
      <c r="S69" s="236"/>
      <c r="T69" s="236"/>
      <c r="U69" s="236"/>
      <c r="V69" s="237"/>
      <c r="X69" s="165"/>
      <c r="Y69" s="250"/>
      <c r="Z69" s="250"/>
      <c r="AA69" s="250"/>
      <c r="AB69" s="250"/>
      <c r="AC69" s="250"/>
      <c r="AD69" s="250"/>
      <c r="AE69" s="250" t="s">
        <v>161</v>
      </c>
      <c r="AF69" s="250"/>
      <c r="AG69" s="238">
        <v>0</v>
      </c>
      <c r="AH69" s="238">
        <v>1000</v>
      </c>
      <c r="AI69" s="238">
        <v>-1000</v>
      </c>
      <c r="AJ69" s="239">
        <v>0</v>
      </c>
    </row>
    <row r="70" spans="1:36" ht="15.75" x14ac:dyDescent="0.25">
      <c r="A70" s="17" t="s">
        <v>57</v>
      </c>
      <c r="B70" s="115"/>
      <c r="C70" s="186"/>
      <c r="D70" s="186"/>
      <c r="E70" s="213"/>
      <c r="F70" s="115">
        <f t="shared" ref="F70:F80" si="9">E70-D70</f>
        <v>0</v>
      </c>
      <c r="G70" s="28"/>
      <c r="H70" s="224"/>
      <c r="I70" s="13"/>
      <c r="L70" s="250"/>
      <c r="M70" s="250"/>
      <c r="N70" s="250"/>
      <c r="O70" s="250"/>
      <c r="P70" s="250"/>
      <c r="Q70" s="250" t="s">
        <v>137</v>
      </c>
      <c r="R70" s="250"/>
      <c r="S70" s="236">
        <v>3718.5</v>
      </c>
      <c r="T70" s="236">
        <v>2000</v>
      </c>
      <c r="U70" s="236">
        <v>1718.5</v>
      </c>
      <c r="V70" s="237">
        <v>1.8592500000000001</v>
      </c>
      <c r="X70" s="165"/>
      <c r="Y70" s="250"/>
      <c r="Z70" s="250"/>
      <c r="AA70" s="250"/>
      <c r="AB70" s="250"/>
      <c r="AC70" s="250"/>
      <c r="AD70" s="250" t="s">
        <v>162</v>
      </c>
      <c r="AE70" s="250"/>
      <c r="AF70" s="250"/>
      <c r="AG70" s="236">
        <v>7355</v>
      </c>
      <c r="AH70" s="236">
        <v>4200</v>
      </c>
      <c r="AI70" s="236">
        <v>3155</v>
      </c>
      <c r="AJ70" s="237">
        <v>1.75119</v>
      </c>
    </row>
    <row r="71" spans="1:36" ht="15.75" x14ac:dyDescent="0.25">
      <c r="A71" s="18" t="s">
        <v>63</v>
      </c>
      <c r="B71" s="143">
        <f>AG115</f>
        <v>63504</v>
      </c>
      <c r="C71" s="126">
        <v>70000</v>
      </c>
      <c r="D71" s="126">
        <v>192690</v>
      </c>
      <c r="E71" s="135">
        <f>50*5864</f>
        <v>293200</v>
      </c>
      <c r="F71" s="115">
        <f t="shared" si="9"/>
        <v>100510</v>
      </c>
      <c r="G71" s="11">
        <f>F71/D71</f>
        <v>0.52161502932170845</v>
      </c>
      <c r="H71" s="224"/>
      <c r="L71" s="250"/>
      <c r="M71" s="250"/>
      <c r="N71" s="250"/>
      <c r="O71" s="250"/>
      <c r="P71" s="250"/>
      <c r="Q71" s="250"/>
      <c r="R71" s="250"/>
      <c r="S71" s="236"/>
      <c r="T71" s="236"/>
      <c r="U71" s="236"/>
      <c r="V71" s="237"/>
      <c r="X71" s="165"/>
      <c r="Y71" s="250"/>
      <c r="Z71" s="250"/>
      <c r="AA71" s="250"/>
      <c r="AB71" s="250"/>
      <c r="AC71" s="250"/>
      <c r="AD71" s="250" t="s">
        <v>163</v>
      </c>
      <c r="AE71" s="250"/>
      <c r="AF71" s="250"/>
      <c r="AG71" s="236">
        <v>2008.45</v>
      </c>
      <c r="AH71" s="236">
        <v>1275</v>
      </c>
      <c r="AI71" s="236">
        <v>733.45</v>
      </c>
      <c r="AJ71" s="237">
        <v>1.57525</v>
      </c>
    </row>
    <row r="72" spans="1:36" ht="15.75" x14ac:dyDescent="0.25">
      <c r="A72" s="211" t="s">
        <v>233</v>
      </c>
      <c r="B72" s="115"/>
      <c r="C72" s="126"/>
      <c r="D72" s="126"/>
      <c r="E72" s="135">
        <v>491310</v>
      </c>
      <c r="F72" s="115"/>
      <c r="G72" s="11"/>
      <c r="H72" s="224"/>
      <c r="L72" s="250"/>
      <c r="M72" s="250"/>
      <c r="N72" s="250"/>
      <c r="O72" s="250"/>
      <c r="P72" s="250"/>
      <c r="Q72" s="250"/>
      <c r="R72" s="250"/>
      <c r="S72" s="236"/>
      <c r="T72" s="236"/>
      <c r="U72" s="236"/>
      <c r="V72" s="237"/>
      <c r="X72" s="165"/>
      <c r="Y72" s="250"/>
      <c r="Z72" s="250"/>
      <c r="AA72" s="250"/>
      <c r="AB72" s="250"/>
      <c r="AC72" s="250"/>
      <c r="AD72" s="250" t="s">
        <v>164</v>
      </c>
      <c r="AE72" s="250"/>
      <c r="AF72" s="250"/>
      <c r="AG72" s="236">
        <v>0</v>
      </c>
      <c r="AH72" s="236">
        <v>300</v>
      </c>
      <c r="AI72" s="236">
        <v>-300</v>
      </c>
      <c r="AJ72" s="237">
        <v>0</v>
      </c>
    </row>
    <row r="73" spans="1:36" ht="16.5" thickBot="1" x14ac:dyDescent="0.3">
      <c r="A73" s="21" t="s">
        <v>13</v>
      </c>
      <c r="B73" s="115">
        <f>AF194+AF196+AF195</f>
        <v>1697.22</v>
      </c>
      <c r="C73" s="127">
        <f>B73*1.17</f>
        <v>1985.7474</v>
      </c>
      <c r="D73" s="127">
        <v>2119.5899999999997</v>
      </c>
      <c r="E73" s="135">
        <v>50</v>
      </c>
      <c r="F73" s="115">
        <f t="shared" si="9"/>
        <v>-2069.5899999999997</v>
      </c>
      <c r="G73" s="102">
        <f>F73/D73</f>
        <v>-0.97641053222557195</v>
      </c>
      <c r="H73" s="232"/>
      <c r="L73" s="250"/>
      <c r="M73" s="250"/>
      <c r="N73" s="250"/>
      <c r="O73" s="250"/>
      <c r="P73" s="250"/>
      <c r="Q73" s="250" t="s">
        <v>138</v>
      </c>
      <c r="R73" s="250"/>
      <c r="S73" s="238">
        <v>135.41</v>
      </c>
      <c r="T73" s="238"/>
      <c r="U73" s="238"/>
      <c r="V73" s="239"/>
      <c r="X73" s="165"/>
      <c r="Y73" s="250"/>
      <c r="Z73" s="250"/>
      <c r="AA73" s="250"/>
      <c r="AB73" s="250"/>
      <c r="AC73" s="250"/>
      <c r="AD73" s="250" t="s">
        <v>165</v>
      </c>
      <c r="AE73" s="250"/>
      <c r="AF73" s="250"/>
      <c r="AG73" s="236"/>
      <c r="AH73" s="236"/>
      <c r="AI73" s="236"/>
      <c r="AJ73" s="237"/>
    </row>
    <row r="74" spans="1:36" ht="17.25" thickTop="1" thickBot="1" x14ac:dyDescent="0.3">
      <c r="A74" s="20" t="s">
        <v>7</v>
      </c>
      <c r="B74" s="115">
        <f>SUM(B70:B73)</f>
        <v>65201.22</v>
      </c>
      <c r="C74" s="187">
        <f>SUM(C71:C73)</f>
        <v>71985.747399999993</v>
      </c>
      <c r="D74" s="187">
        <v>194809.59</v>
      </c>
      <c r="E74" s="188">
        <f>SUM(E69:E73)</f>
        <v>784560</v>
      </c>
      <c r="F74" s="138">
        <f t="shared" si="9"/>
        <v>589750.41</v>
      </c>
      <c r="G74" s="28">
        <f>F74/D74</f>
        <v>3.0273171356707853</v>
      </c>
      <c r="H74" s="224"/>
      <c r="L74" s="250"/>
      <c r="M74" s="250"/>
      <c r="N74" s="250"/>
      <c r="O74" s="250"/>
      <c r="P74" s="250" t="s">
        <v>139</v>
      </c>
      <c r="Q74" s="250"/>
      <c r="R74" s="250"/>
      <c r="S74" s="236">
        <v>9830.69</v>
      </c>
      <c r="T74" s="236">
        <v>9500.02</v>
      </c>
      <c r="U74" s="236">
        <v>330.67</v>
      </c>
      <c r="V74" s="237">
        <v>1.03481</v>
      </c>
      <c r="X74" s="165"/>
      <c r="Y74" s="250"/>
      <c r="Z74" s="250"/>
      <c r="AA74" s="250"/>
      <c r="AB74" s="250"/>
      <c r="AC74" s="250"/>
      <c r="AD74" s="250"/>
      <c r="AE74" s="250" t="s">
        <v>166</v>
      </c>
      <c r="AF74" s="250"/>
      <c r="AG74" s="236">
        <v>437.69</v>
      </c>
      <c r="AH74" s="236">
        <v>1750</v>
      </c>
      <c r="AI74" s="236">
        <v>-1312.31</v>
      </c>
      <c r="AJ74" s="237">
        <v>0.25011</v>
      </c>
    </row>
    <row r="75" spans="1:36" ht="15.75" x14ac:dyDescent="0.25">
      <c r="A75" s="17" t="s">
        <v>6</v>
      </c>
      <c r="B75" s="115"/>
      <c r="C75" s="189"/>
      <c r="D75" s="189"/>
      <c r="E75" s="190"/>
      <c r="F75" s="115">
        <f t="shared" si="9"/>
        <v>0</v>
      </c>
      <c r="G75" s="11"/>
      <c r="H75" s="224"/>
      <c r="L75" s="250"/>
      <c r="M75" s="250"/>
      <c r="N75" s="250"/>
      <c r="O75" s="250"/>
      <c r="P75" s="250" t="s">
        <v>140</v>
      </c>
      <c r="Q75" s="250"/>
      <c r="R75" s="250"/>
      <c r="S75" s="236"/>
      <c r="T75" s="236"/>
      <c r="U75" s="236"/>
      <c r="V75" s="237"/>
      <c r="X75" s="165"/>
      <c r="Y75" s="250"/>
      <c r="Z75" s="250"/>
      <c r="AA75" s="250"/>
      <c r="AB75" s="250"/>
      <c r="AC75" s="250"/>
      <c r="AD75" s="250"/>
      <c r="AE75" s="250" t="s">
        <v>167</v>
      </c>
      <c r="AF75" s="250"/>
      <c r="AG75" s="236">
        <v>210</v>
      </c>
      <c r="AH75" s="236">
        <v>191.6</v>
      </c>
      <c r="AI75" s="236">
        <v>18.399999999999999</v>
      </c>
      <c r="AJ75" s="237">
        <v>1.0960300000000001</v>
      </c>
    </row>
    <row r="76" spans="1:36" ht="15.75" x14ac:dyDescent="0.25">
      <c r="A76" s="19" t="s">
        <v>5</v>
      </c>
      <c r="B76" s="115">
        <f>AF208</f>
        <v>130958.75</v>
      </c>
      <c r="C76" s="128">
        <v>210000</v>
      </c>
      <c r="D76" s="128">
        <v>450000</v>
      </c>
      <c r="E76" s="135">
        <v>250000</v>
      </c>
      <c r="F76" s="115">
        <f t="shared" si="9"/>
        <v>-200000</v>
      </c>
      <c r="G76" s="11">
        <f>F76/D76</f>
        <v>-0.44444444444444442</v>
      </c>
      <c r="H76" s="224"/>
      <c r="L76" s="250"/>
      <c r="M76" s="250"/>
      <c r="N76" s="250"/>
      <c r="O76" s="250"/>
      <c r="P76" s="250"/>
      <c r="Q76" s="250"/>
      <c r="R76" s="250"/>
      <c r="S76" s="236"/>
      <c r="T76" s="236"/>
      <c r="U76" s="236"/>
      <c r="V76" s="237"/>
      <c r="X76" s="165"/>
      <c r="Y76" s="250"/>
      <c r="Z76" s="250"/>
      <c r="AA76" s="250"/>
      <c r="AB76" s="250"/>
      <c r="AC76" s="250"/>
      <c r="AD76" s="250"/>
      <c r="AE76" s="250" t="s">
        <v>168</v>
      </c>
      <c r="AF76" s="250"/>
      <c r="AG76" s="236">
        <v>674.3</v>
      </c>
      <c r="AH76" s="236">
        <v>1750</v>
      </c>
      <c r="AI76" s="236">
        <v>-1075.7</v>
      </c>
      <c r="AJ76" s="237">
        <v>0.38530999999999999</v>
      </c>
    </row>
    <row r="77" spans="1:36" ht="15.75" x14ac:dyDescent="0.25">
      <c r="A77" s="18" t="s">
        <v>219</v>
      </c>
      <c r="B77" s="115">
        <v>0</v>
      </c>
      <c r="C77" s="128">
        <v>0</v>
      </c>
      <c r="D77" s="189" t="s">
        <v>220</v>
      </c>
      <c r="E77" s="135">
        <v>500000</v>
      </c>
      <c r="F77" s="115" t="s">
        <v>240</v>
      </c>
      <c r="G77" s="11" t="s">
        <v>240</v>
      </c>
      <c r="H77" s="233" t="s">
        <v>231</v>
      </c>
      <c r="I77" s="210"/>
      <c r="L77" s="250"/>
      <c r="M77" s="250"/>
      <c r="N77" s="250"/>
      <c r="O77" s="250"/>
      <c r="P77" s="250"/>
      <c r="Q77" s="250" t="s">
        <v>141</v>
      </c>
      <c r="R77" s="250"/>
      <c r="S77" s="236"/>
      <c r="T77" s="236"/>
      <c r="U77" s="236"/>
      <c r="V77" s="237"/>
      <c r="X77" s="165"/>
      <c r="Y77" s="250"/>
      <c r="Z77" s="250"/>
      <c r="AA77" s="250"/>
      <c r="AB77" s="250"/>
      <c r="AC77" s="250"/>
      <c r="AD77" s="250"/>
      <c r="AE77" s="250" t="s">
        <v>169</v>
      </c>
      <c r="AF77" s="250"/>
      <c r="AG77" s="236">
        <v>3325.58</v>
      </c>
      <c r="AH77" s="236">
        <v>2466</v>
      </c>
      <c r="AI77" s="236">
        <v>859.58</v>
      </c>
      <c r="AJ77" s="237">
        <v>1.34857</v>
      </c>
    </row>
    <row r="78" spans="1:36" ht="16.5" thickBot="1" x14ac:dyDescent="0.3">
      <c r="A78" s="21" t="s">
        <v>11</v>
      </c>
      <c r="B78" s="115">
        <f>3456*14</f>
        <v>48384</v>
      </c>
      <c r="C78" s="129">
        <f>B78+3456</f>
        <v>51840</v>
      </c>
      <c r="D78" s="129">
        <v>34560</v>
      </c>
      <c r="E78" s="136">
        <f>34560</f>
        <v>34560</v>
      </c>
      <c r="F78" s="115">
        <f t="shared" si="9"/>
        <v>0</v>
      </c>
      <c r="G78" s="102">
        <f>F78/D78</f>
        <v>0</v>
      </c>
      <c r="H78" s="224"/>
      <c r="L78" s="250"/>
      <c r="M78" s="250"/>
      <c r="N78" s="250"/>
      <c r="O78" s="250"/>
      <c r="P78" s="250"/>
      <c r="Q78" s="250"/>
      <c r="R78" s="250" t="s">
        <v>142</v>
      </c>
      <c r="S78" s="236">
        <v>0</v>
      </c>
      <c r="T78" s="236">
        <v>55019.97</v>
      </c>
      <c r="U78" s="236">
        <v>-55019.97</v>
      </c>
      <c r="V78" s="237">
        <v>0</v>
      </c>
      <c r="X78" s="165"/>
      <c r="Y78" s="250"/>
      <c r="Z78" s="250"/>
      <c r="AA78" s="250"/>
      <c r="AB78" s="250"/>
      <c r="AC78" s="250"/>
      <c r="AD78" s="250"/>
      <c r="AE78" s="250" t="s">
        <v>170</v>
      </c>
      <c r="AF78" s="250"/>
      <c r="AG78" s="238">
        <v>256</v>
      </c>
      <c r="AH78" s="238">
        <v>320</v>
      </c>
      <c r="AI78" s="238">
        <v>-64</v>
      </c>
      <c r="AJ78" s="239">
        <v>0.8</v>
      </c>
    </row>
    <row r="79" spans="1:36" ht="17.25" thickTop="1" thickBot="1" x14ac:dyDescent="0.3">
      <c r="A79" s="17" t="s">
        <v>8</v>
      </c>
      <c r="B79" s="115">
        <f>SUM(B76:B78)</f>
        <v>179342.75</v>
      </c>
      <c r="C79" s="191">
        <f>SUM(C76:C78)</f>
        <v>261840</v>
      </c>
      <c r="D79" s="191">
        <v>484560</v>
      </c>
      <c r="E79" s="192">
        <f>SUM(E75:E78)</f>
        <v>784560</v>
      </c>
      <c r="F79" s="138">
        <f t="shared" si="9"/>
        <v>300000</v>
      </c>
      <c r="G79" s="28">
        <f>F79/D79</f>
        <v>0.61911837543338288</v>
      </c>
      <c r="H79" s="224"/>
      <c r="L79" s="250"/>
      <c r="M79" s="250"/>
      <c r="N79" s="250"/>
      <c r="O79" s="250"/>
      <c r="P79" s="250"/>
      <c r="Q79" s="250"/>
      <c r="R79" s="250" t="s">
        <v>143</v>
      </c>
      <c r="S79" s="236">
        <v>10719.98</v>
      </c>
      <c r="T79" s="236">
        <v>9903.6</v>
      </c>
      <c r="U79" s="236">
        <v>816.38</v>
      </c>
      <c r="V79" s="237">
        <v>1.08243</v>
      </c>
      <c r="X79" s="165"/>
      <c r="Y79" s="250"/>
      <c r="Z79" s="250"/>
      <c r="AA79" s="250"/>
      <c r="AB79" s="250"/>
      <c r="AC79" s="250"/>
      <c r="AD79" s="250" t="s">
        <v>171</v>
      </c>
      <c r="AE79" s="250"/>
      <c r="AF79" s="250"/>
      <c r="AG79" s="236">
        <v>4903.57</v>
      </c>
      <c r="AH79" s="236">
        <v>6477.6</v>
      </c>
      <c r="AI79" s="236">
        <v>-1574.03</v>
      </c>
      <c r="AJ79" s="237">
        <v>0.75700000000000001</v>
      </c>
    </row>
    <row r="80" spans="1:36" ht="16.5" thickBot="1" x14ac:dyDescent="0.3">
      <c r="A80" s="216" t="s">
        <v>58</v>
      </c>
      <c r="B80" s="167">
        <f>B74-B79</f>
        <v>-114141.53</v>
      </c>
      <c r="C80" s="217">
        <f>C74-C79</f>
        <v>-189854.25260000001</v>
      </c>
      <c r="D80" s="217">
        <v>-289750.41000000003</v>
      </c>
      <c r="E80" s="218">
        <f>E74-E79</f>
        <v>0</v>
      </c>
      <c r="F80" s="167">
        <f t="shared" si="9"/>
        <v>289750.41000000003</v>
      </c>
      <c r="G80" s="52">
        <f>F80/D80</f>
        <v>-1</v>
      </c>
      <c r="H80" s="234"/>
      <c r="L80" s="250"/>
      <c r="M80" s="250"/>
      <c r="N80" s="250"/>
      <c r="O80" s="250"/>
      <c r="P80" s="250"/>
      <c r="Q80" s="250"/>
      <c r="R80" s="250" t="s">
        <v>144</v>
      </c>
      <c r="S80" s="236">
        <v>104259.49</v>
      </c>
      <c r="T80" s="236">
        <v>33213.78</v>
      </c>
      <c r="U80" s="236">
        <v>71045.710000000006</v>
      </c>
      <c r="V80" s="237">
        <v>3.1390400000000001</v>
      </c>
      <c r="X80" s="165"/>
      <c r="Y80" s="250"/>
      <c r="Z80" s="250"/>
      <c r="AA80" s="250"/>
      <c r="AB80" s="250"/>
      <c r="AC80" s="250"/>
      <c r="AD80" s="250" t="s">
        <v>172</v>
      </c>
      <c r="AE80" s="250"/>
      <c r="AF80" s="250"/>
      <c r="AG80" s="238">
        <v>62.75</v>
      </c>
      <c r="AH80" s="238"/>
      <c r="AI80" s="238"/>
      <c r="AJ80" s="239"/>
    </row>
    <row r="81" spans="9:36" ht="15.75" thickBot="1" x14ac:dyDescent="0.3">
      <c r="L81" s="250"/>
      <c r="M81" s="250"/>
      <c r="N81" s="250"/>
      <c r="O81" s="250"/>
      <c r="P81" s="250"/>
      <c r="Q81" s="250"/>
      <c r="R81" s="250" t="s">
        <v>145</v>
      </c>
      <c r="S81" s="238">
        <v>0</v>
      </c>
      <c r="T81" s="238">
        <v>27201.360000000001</v>
      </c>
      <c r="U81" s="238">
        <v>-27201.360000000001</v>
      </c>
      <c r="V81" s="239">
        <v>0</v>
      </c>
      <c r="X81" s="165"/>
      <c r="Y81" s="250"/>
      <c r="Z81" s="250"/>
      <c r="AA81" s="250"/>
      <c r="AB81" s="250"/>
      <c r="AC81" s="250" t="s">
        <v>173</v>
      </c>
      <c r="AD81" s="250"/>
      <c r="AE81" s="250"/>
      <c r="AF81" s="250"/>
      <c r="AG81" s="236">
        <v>190367.03</v>
      </c>
      <c r="AH81" s="236">
        <v>206083.28</v>
      </c>
      <c r="AI81" s="236">
        <v>-15716.25</v>
      </c>
      <c r="AJ81" s="237">
        <v>0.92374000000000001</v>
      </c>
    </row>
    <row r="82" spans="9:36" x14ac:dyDescent="0.25">
      <c r="L82" s="250"/>
      <c r="M82" s="250"/>
      <c r="N82" s="250"/>
      <c r="O82" s="250"/>
      <c r="P82" s="250"/>
      <c r="Q82" s="250"/>
      <c r="R82" s="250"/>
      <c r="S82" s="236"/>
      <c r="T82" s="236"/>
      <c r="U82" s="236"/>
      <c r="V82" s="237"/>
      <c r="X82" s="165"/>
      <c r="Y82" s="250"/>
      <c r="Z82" s="250"/>
      <c r="AA82" s="250"/>
      <c r="AB82" s="250"/>
      <c r="AC82" s="250" t="s">
        <v>174</v>
      </c>
      <c r="AD82" s="250"/>
      <c r="AE82" s="250"/>
      <c r="AF82" s="250"/>
      <c r="AG82" s="236"/>
      <c r="AH82" s="236"/>
      <c r="AI82" s="236"/>
      <c r="AJ82" s="237"/>
    </row>
    <row r="83" spans="9:36" x14ac:dyDescent="0.25">
      <c r="L83" s="250"/>
      <c r="M83" s="250"/>
      <c r="N83" s="250"/>
      <c r="O83" s="250"/>
      <c r="P83" s="250"/>
      <c r="Q83" s="250"/>
      <c r="R83" s="250"/>
      <c r="S83" s="236"/>
      <c r="T83" s="236"/>
      <c r="U83" s="236"/>
      <c r="V83" s="237"/>
      <c r="X83" s="165"/>
      <c r="Y83" s="250"/>
      <c r="Z83" s="250"/>
      <c r="AA83" s="250"/>
      <c r="AB83" s="250"/>
      <c r="AC83" s="250"/>
      <c r="AD83" s="250" t="s">
        <v>175</v>
      </c>
      <c r="AE83" s="250"/>
      <c r="AF83" s="250"/>
      <c r="AG83" s="236"/>
      <c r="AH83" s="236"/>
      <c r="AI83" s="236"/>
      <c r="AJ83" s="237"/>
    </row>
    <row r="84" spans="9:36" x14ac:dyDescent="0.25">
      <c r="L84" s="250"/>
      <c r="M84" s="250"/>
      <c r="N84" s="250"/>
      <c r="O84" s="250"/>
      <c r="P84" s="250"/>
      <c r="Q84" s="250" t="s">
        <v>146</v>
      </c>
      <c r="R84" s="250"/>
      <c r="S84" s="236">
        <v>114979.47</v>
      </c>
      <c r="T84" s="236">
        <v>125338.71</v>
      </c>
      <c r="U84" s="236">
        <v>-10359.24</v>
      </c>
      <c r="V84" s="237">
        <v>0.91735</v>
      </c>
      <c r="X84" s="165"/>
      <c r="Y84" s="250"/>
      <c r="Z84" s="250"/>
      <c r="AA84" s="250"/>
      <c r="AB84" s="250"/>
      <c r="AC84" s="250"/>
      <c r="AD84" s="250"/>
      <c r="AE84" s="250" t="s">
        <v>176</v>
      </c>
      <c r="AF84" s="250"/>
      <c r="AG84" s="236">
        <v>742.1</v>
      </c>
      <c r="AH84" s="236">
        <v>1250</v>
      </c>
      <c r="AI84" s="236">
        <v>-507.9</v>
      </c>
      <c r="AJ84" s="237">
        <v>0.59367999999999999</v>
      </c>
    </row>
    <row r="85" spans="9:36" x14ac:dyDescent="0.25">
      <c r="L85" s="250"/>
      <c r="M85" s="250"/>
      <c r="N85" s="250"/>
      <c r="O85" s="250"/>
      <c r="P85" s="250"/>
      <c r="Q85" s="250" t="s">
        <v>147</v>
      </c>
      <c r="R85" s="250"/>
      <c r="S85" s="236"/>
      <c r="T85" s="236"/>
      <c r="U85" s="236"/>
      <c r="V85" s="237"/>
      <c r="X85" s="165"/>
      <c r="Y85" s="250"/>
      <c r="Z85" s="250"/>
      <c r="AA85" s="250"/>
      <c r="AB85" s="250"/>
      <c r="AC85" s="250"/>
      <c r="AD85" s="250"/>
      <c r="AE85" s="250" t="s">
        <v>177</v>
      </c>
      <c r="AF85" s="250"/>
      <c r="AG85" s="236">
        <v>61.13</v>
      </c>
      <c r="AH85" s="236">
        <v>1000</v>
      </c>
      <c r="AI85" s="236">
        <v>-938.87</v>
      </c>
      <c r="AJ85" s="237">
        <v>6.1129999999999997E-2</v>
      </c>
    </row>
    <row r="86" spans="9:36" ht="15.75" thickBot="1" x14ac:dyDescent="0.3">
      <c r="L86" s="250"/>
      <c r="M86" s="250"/>
      <c r="N86" s="250"/>
      <c r="O86" s="250"/>
      <c r="P86" s="250"/>
      <c r="Q86" s="250"/>
      <c r="R86" s="250" t="s">
        <v>148</v>
      </c>
      <c r="S86" s="238">
        <v>18877.62</v>
      </c>
      <c r="T86" s="238">
        <v>18648</v>
      </c>
      <c r="U86" s="238">
        <v>229.62</v>
      </c>
      <c r="V86" s="239">
        <v>1.01231</v>
      </c>
      <c r="X86" s="165"/>
      <c r="Y86" s="250"/>
      <c r="Z86" s="250"/>
      <c r="AA86" s="250"/>
      <c r="AB86" s="250"/>
      <c r="AC86" s="250"/>
      <c r="AD86" s="250"/>
      <c r="AE86" s="250" t="s">
        <v>178</v>
      </c>
      <c r="AF86" s="250"/>
      <c r="AG86" s="236">
        <v>395.82</v>
      </c>
      <c r="AH86" s="236">
        <v>666.66</v>
      </c>
      <c r="AI86" s="236">
        <v>-270.83999999999997</v>
      </c>
      <c r="AJ86" s="237">
        <v>0.59374000000000005</v>
      </c>
    </row>
    <row r="87" spans="9:36" ht="15.75" thickBot="1" x14ac:dyDescent="0.3">
      <c r="L87" s="250"/>
      <c r="M87" s="250"/>
      <c r="N87" s="250"/>
      <c r="O87" s="250"/>
      <c r="P87" s="250"/>
      <c r="Q87" s="250"/>
      <c r="R87" s="250"/>
      <c r="S87" s="236"/>
      <c r="T87" s="236"/>
      <c r="U87" s="236"/>
      <c r="V87" s="237"/>
      <c r="X87" s="165"/>
      <c r="Y87" s="250"/>
      <c r="Z87" s="250"/>
      <c r="AA87" s="250"/>
      <c r="AB87" s="250"/>
      <c r="AC87" s="250"/>
      <c r="AD87" s="250"/>
      <c r="AE87" s="250" t="s">
        <v>179</v>
      </c>
      <c r="AF87" s="250"/>
      <c r="AG87" s="238">
        <v>121.55</v>
      </c>
      <c r="AH87" s="238">
        <v>541.66</v>
      </c>
      <c r="AI87" s="238">
        <v>-420.11</v>
      </c>
      <c r="AJ87" s="239">
        <v>0.22439999999999999</v>
      </c>
    </row>
    <row r="88" spans="9:36" x14ac:dyDescent="0.25">
      <c r="L88" s="250"/>
      <c r="M88" s="250"/>
      <c r="N88" s="250"/>
      <c r="O88" s="250"/>
      <c r="P88" s="250"/>
      <c r="Q88" s="250" t="s">
        <v>149</v>
      </c>
      <c r="R88" s="250"/>
      <c r="S88" s="236">
        <v>18877.62</v>
      </c>
      <c r="T88" s="236">
        <v>18648</v>
      </c>
      <c r="U88" s="236">
        <v>229.62</v>
      </c>
      <c r="V88" s="237">
        <v>1.01231</v>
      </c>
      <c r="X88" s="165"/>
      <c r="Y88" s="250"/>
      <c r="Z88" s="250"/>
      <c r="AA88" s="250"/>
      <c r="AB88" s="250"/>
      <c r="AC88" s="250"/>
      <c r="AD88" s="250" t="s">
        <v>180</v>
      </c>
      <c r="AE88" s="250"/>
      <c r="AF88" s="250"/>
      <c r="AG88" s="236">
        <v>1320.6</v>
      </c>
      <c r="AH88" s="236">
        <v>3458.32</v>
      </c>
      <c r="AI88" s="236">
        <v>-2137.7199999999998</v>
      </c>
      <c r="AJ88" s="237">
        <v>0.38185999999999998</v>
      </c>
    </row>
    <row r="89" spans="9:36" x14ac:dyDescent="0.25">
      <c r="L89" s="250"/>
      <c r="M89" s="250"/>
      <c r="N89" s="250"/>
      <c r="O89" s="250"/>
      <c r="P89" s="250"/>
      <c r="Q89" s="250" t="s">
        <v>150</v>
      </c>
      <c r="R89" s="250"/>
      <c r="S89" s="236"/>
      <c r="T89" s="236"/>
      <c r="U89" s="236"/>
      <c r="V89" s="237"/>
      <c r="X89" s="165"/>
      <c r="Y89" s="250"/>
      <c r="Z89" s="250"/>
      <c r="AA89" s="250"/>
      <c r="AB89" s="250"/>
      <c r="AC89" s="250"/>
      <c r="AD89" s="250" t="s">
        <v>181</v>
      </c>
      <c r="AE89" s="250"/>
      <c r="AF89" s="250"/>
      <c r="AG89" s="236"/>
      <c r="AH89" s="236"/>
      <c r="AI89" s="236"/>
      <c r="AJ89" s="237"/>
    </row>
    <row r="90" spans="9:36" x14ac:dyDescent="0.25">
      <c r="L90" s="250"/>
      <c r="M90" s="250"/>
      <c r="N90" s="250"/>
      <c r="O90" s="250"/>
      <c r="P90" s="250"/>
      <c r="Q90" s="250"/>
      <c r="R90" s="250" t="s">
        <v>151</v>
      </c>
      <c r="S90" s="236">
        <v>176.94</v>
      </c>
      <c r="T90" s="236">
        <v>269.19</v>
      </c>
      <c r="U90" s="236">
        <v>-92.25</v>
      </c>
      <c r="V90" s="237">
        <v>0.65730999999999995</v>
      </c>
      <c r="X90" s="165"/>
      <c r="Y90" s="250"/>
      <c r="Z90" s="250"/>
      <c r="AA90" s="250"/>
      <c r="AB90" s="250"/>
      <c r="AC90" s="250"/>
      <c r="AD90" s="250"/>
      <c r="AE90" s="250" t="s">
        <v>182</v>
      </c>
      <c r="AF90" s="250"/>
      <c r="AG90" s="236">
        <v>3012.49</v>
      </c>
      <c r="AH90" s="236">
        <v>18333.34</v>
      </c>
      <c r="AI90" s="236">
        <v>-15320.85</v>
      </c>
      <c r="AJ90" s="237">
        <v>0.16431999999999999</v>
      </c>
    </row>
    <row r="91" spans="9:36" x14ac:dyDescent="0.25">
      <c r="L91" s="250"/>
      <c r="M91" s="250"/>
      <c r="N91" s="250"/>
      <c r="O91" s="250"/>
      <c r="P91" s="250"/>
      <c r="Q91" s="250"/>
      <c r="R91" s="250" t="s">
        <v>152</v>
      </c>
      <c r="S91" s="236">
        <v>1509.28</v>
      </c>
      <c r="T91" s="236">
        <v>1758.96</v>
      </c>
      <c r="U91" s="236">
        <v>-249.68</v>
      </c>
      <c r="V91" s="237">
        <v>0.85804999999999998</v>
      </c>
      <c r="X91" s="165"/>
      <c r="Y91" s="250"/>
      <c r="Z91" s="250"/>
      <c r="AA91" s="250"/>
      <c r="AB91" s="250"/>
      <c r="AC91" s="250"/>
      <c r="AD91" s="250"/>
      <c r="AE91" s="250" t="s">
        <v>183</v>
      </c>
      <c r="AF91" s="250"/>
      <c r="AG91" s="236">
        <v>8584</v>
      </c>
      <c r="AH91" s="236">
        <v>11400</v>
      </c>
      <c r="AI91" s="236">
        <v>-2816</v>
      </c>
      <c r="AJ91" s="237">
        <v>0.75297999999999998</v>
      </c>
    </row>
    <row r="92" spans="9:36" x14ac:dyDescent="0.25">
      <c r="L92" s="250"/>
      <c r="M92" s="250"/>
      <c r="N92" s="250"/>
      <c r="O92" s="250"/>
      <c r="P92" s="250"/>
      <c r="Q92" s="250"/>
      <c r="R92" s="250" t="s">
        <v>153</v>
      </c>
      <c r="S92" s="236">
        <v>6453.52</v>
      </c>
      <c r="T92" s="236">
        <v>6407.55</v>
      </c>
      <c r="U92" s="236">
        <v>45.97</v>
      </c>
      <c r="V92" s="237">
        <v>1.0071699999999999</v>
      </c>
      <c r="X92" s="165"/>
      <c r="Y92" s="250"/>
      <c r="Z92" s="250"/>
      <c r="AA92" s="250"/>
      <c r="AB92" s="250"/>
      <c r="AC92" s="250"/>
      <c r="AD92" s="250"/>
      <c r="AE92" s="250" t="s">
        <v>184</v>
      </c>
      <c r="AF92" s="250"/>
      <c r="AG92" s="236">
        <v>523.16999999999996</v>
      </c>
      <c r="AH92" s="236">
        <v>4500</v>
      </c>
      <c r="AI92" s="236">
        <v>-3976.83</v>
      </c>
      <c r="AJ92" s="237">
        <v>0.11626</v>
      </c>
    </row>
    <row r="93" spans="9:36" x14ac:dyDescent="0.25">
      <c r="L93" s="250"/>
      <c r="M93" s="250"/>
      <c r="N93" s="250"/>
      <c r="O93" s="250"/>
      <c r="P93" s="250"/>
      <c r="Q93" s="250"/>
      <c r="R93" s="250" t="s">
        <v>154</v>
      </c>
      <c r="S93" s="236">
        <v>83.64</v>
      </c>
      <c r="T93" s="236">
        <v>251.28</v>
      </c>
      <c r="U93" s="236">
        <v>-167.64</v>
      </c>
      <c r="V93" s="237">
        <v>0.33285999999999999</v>
      </c>
      <c r="X93" s="165"/>
      <c r="Y93" s="250"/>
      <c r="Z93" s="250"/>
      <c r="AA93" s="250"/>
      <c r="AB93" s="250"/>
      <c r="AC93" s="250"/>
      <c r="AD93" s="250"/>
      <c r="AE93" s="250" t="s">
        <v>185</v>
      </c>
      <c r="AF93" s="250"/>
      <c r="AG93" s="236">
        <v>4352</v>
      </c>
      <c r="AH93" s="236">
        <v>3759</v>
      </c>
      <c r="AI93" s="236">
        <v>593</v>
      </c>
      <c r="AJ93" s="237">
        <v>1.1577500000000001</v>
      </c>
    </row>
    <row r="94" spans="9:36" ht="15.75" thickBot="1" x14ac:dyDescent="0.3">
      <c r="L94" s="250"/>
      <c r="M94" s="250"/>
      <c r="N94" s="250"/>
      <c r="O94" s="250"/>
      <c r="P94" s="250"/>
      <c r="Q94" s="250"/>
      <c r="R94" s="250" t="s">
        <v>155</v>
      </c>
      <c r="S94" s="236">
        <v>0</v>
      </c>
      <c r="T94" s="236">
        <v>193.22</v>
      </c>
      <c r="U94" s="236">
        <v>-193.22</v>
      </c>
      <c r="V94" s="237">
        <v>0</v>
      </c>
      <c r="X94" s="165"/>
      <c r="Y94" s="250"/>
      <c r="Z94" s="250"/>
      <c r="AA94" s="250"/>
      <c r="AB94" s="250"/>
      <c r="AC94" s="250"/>
      <c r="AD94" s="250"/>
      <c r="AE94" s="250" t="s">
        <v>186</v>
      </c>
      <c r="AF94" s="250"/>
      <c r="AG94" s="236">
        <v>11764.75</v>
      </c>
      <c r="AH94" s="236">
        <v>6000</v>
      </c>
      <c r="AI94" s="236">
        <v>5764.75</v>
      </c>
      <c r="AJ94" s="237">
        <v>1.96079</v>
      </c>
    </row>
    <row r="95" spans="9:36" ht="15.75" thickBot="1" x14ac:dyDescent="0.3">
      <c r="L95" s="250"/>
      <c r="M95" s="250"/>
      <c r="N95" s="250"/>
      <c r="O95" s="250"/>
      <c r="P95" s="250"/>
      <c r="Q95" s="250" t="s">
        <v>156</v>
      </c>
      <c r="R95" s="250"/>
      <c r="S95" s="242">
        <v>8223.3799999999992</v>
      </c>
      <c r="T95" s="242">
        <v>8880.2000000000007</v>
      </c>
      <c r="U95" s="242">
        <v>-656.82</v>
      </c>
      <c r="V95" s="243">
        <v>0.92603999999999997</v>
      </c>
      <c r="X95" s="165"/>
      <c r="Y95" s="250"/>
      <c r="Z95" s="250"/>
      <c r="AA95" s="250"/>
      <c r="AB95" s="250"/>
      <c r="AC95" s="250"/>
      <c r="AD95" s="250"/>
      <c r="AE95" s="250" t="s">
        <v>187</v>
      </c>
      <c r="AF95" s="250"/>
      <c r="AG95" s="238">
        <v>17335.37</v>
      </c>
      <c r="AH95" s="238">
        <v>26666.66</v>
      </c>
      <c r="AI95" s="238">
        <v>-9331.2900000000009</v>
      </c>
      <c r="AJ95" s="239">
        <v>0.65007999999999999</v>
      </c>
    </row>
    <row r="96" spans="9:36" x14ac:dyDescent="0.25">
      <c r="I96" s="1"/>
      <c r="L96" s="250"/>
      <c r="M96" s="250"/>
      <c r="N96" s="250"/>
      <c r="O96" s="250"/>
      <c r="P96" s="250"/>
      <c r="Q96" s="250"/>
      <c r="R96" s="250"/>
      <c r="S96" s="236"/>
      <c r="T96" s="236"/>
      <c r="U96" s="236"/>
      <c r="V96" s="237"/>
      <c r="X96" s="165"/>
      <c r="Y96" s="250"/>
      <c r="Z96" s="250"/>
      <c r="AA96" s="250"/>
      <c r="AB96" s="250"/>
      <c r="AC96" s="250"/>
      <c r="AD96" s="250" t="s">
        <v>188</v>
      </c>
      <c r="AE96" s="250"/>
      <c r="AF96" s="250"/>
      <c r="AG96" s="236">
        <v>45571.78</v>
      </c>
      <c r="AH96" s="236">
        <v>70659</v>
      </c>
      <c r="AI96" s="236">
        <v>-25087.22</v>
      </c>
      <c r="AJ96" s="237">
        <v>0.64495000000000002</v>
      </c>
    </row>
    <row r="97" spans="9:36" x14ac:dyDescent="0.25">
      <c r="I97" s="1"/>
      <c r="L97" s="250"/>
      <c r="M97" s="250"/>
      <c r="N97" s="250"/>
      <c r="O97" s="250"/>
      <c r="P97" s="250"/>
      <c r="Q97" s="250"/>
      <c r="R97" s="250"/>
      <c r="S97" s="236"/>
      <c r="T97" s="236"/>
      <c r="U97" s="236"/>
      <c r="V97" s="237"/>
      <c r="X97" s="165"/>
      <c r="Y97" s="250"/>
      <c r="Z97" s="250"/>
      <c r="AA97" s="250"/>
      <c r="AB97" s="250"/>
      <c r="AC97" s="250"/>
      <c r="AD97" s="250" t="s">
        <v>189</v>
      </c>
      <c r="AE97" s="250"/>
      <c r="AF97" s="250"/>
      <c r="AG97" s="236"/>
      <c r="AH97" s="236"/>
      <c r="AI97" s="236"/>
      <c r="AJ97" s="237"/>
    </row>
    <row r="98" spans="9:36" x14ac:dyDescent="0.25">
      <c r="I98" s="1"/>
      <c r="L98" s="250"/>
      <c r="M98" s="250"/>
      <c r="N98" s="250"/>
      <c r="O98" s="250"/>
      <c r="P98" s="250"/>
      <c r="Q98" s="250"/>
      <c r="R98" s="250"/>
      <c r="S98" s="236"/>
      <c r="T98" s="236"/>
      <c r="U98" s="236"/>
      <c r="V98" s="237"/>
      <c r="X98" s="165"/>
      <c r="Y98" s="250"/>
      <c r="Z98" s="250"/>
      <c r="AA98" s="250"/>
      <c r="AB98" s="250"/>
      <c r="AC98" s="250"/>
      <c r="AD98" s="250"/>
      <c r="AE98" s="250" t="s">
        <v>190</v>
      </c>
      <c r="AF98" s="250"/>
      <c r="AG98" s="236">
        <v>995</v>
      </c>
      <c r="AH98" s="236">
        <v>28000</v>
      </c>
      <c r="AI98" s="236">
        <v>-27005</v>
      </c>
      <c r="AJ98" s="237">
        <v>3.5540000000000002E-2</v>
      </c>
    </row>
    <row r="99" spans="9:36" x14ac:dyDescent="0.25">
      <c r="I99" s="1"/>
      <c r="L99" s="250"/>
      <c r="M99" s="250"/>
      <c r="N99" s="250"/>
      <c r="O99" s="250"/>
      <c r="P99" s="250"/>
      <c r="Q99" s="250"/>
      <c r="R99" s="250"/>
      <c r="S99" s="236"/>
      <c r="T99" s="236"/>
      <c r="U99" s="236"/>
      <c r="V99" s="237"/>
      <c r="X99" s="165"/>
      <c r="Y99" s="250"/>
      <c r="Z99" s="250"/>
      <c r="AA99" s="250"/>
      <c r="AB99" s="250"/>
      <c r="AC99" s="250"/>
      <c r="AD99" s="250"/>
      <c r="AE99" s="250" t="s">
        <v>191</v>
      </c>
      <c r="AF99" s="250"/>
      <c r="AG99" s="236">
        <v>331</v>
      </c>
      <c r="AH99" s="236">
        <v>45000</v>
      </c>
      <c r="AI99" s="236">
        <v>-44669</v>
      </c>
      <c r="AJ99" s="237">
        <v>7.3600000000000002E-3</v>
      </c>
    </row>
    <row r="100" spans="9:36" x14ac:dyDescent="0.25">
      <c r="I100" s="1"/>
      <c r="L100" s="250"/>
      <c r="M100" s="250"/>
      <c r="N100" s="250"/>
      <c r="O100" s="250"/>
      <c r="P100" s="250" t="s">
        <v>157</v>
      </c>
      <c r="Q100" s="250"/>
      <c r="R100" s="250"/>
      <c r="S100" s="236">
        <v>142080.47</v>
      </c>
      <c r="T100" s="236">
        <v>152866.91</v>
      </c>
      <c r="U100" s="236">
        <v>-10786.44</v>
      </c>
      <c r="V100" s="237">
        <v>0.92944000000000004</v>
      </c>
      <c r="X100" s="165"/>
      <c r="Y100" s="250"/>
      <c r="Z100" s="250"/>
      <c r="AA100" s="250"/>
      <c r="AB100" s="250"/>
      <c r="AC100" s="250"/>
      <c r="AD100" s="250"/>
      <c r="AE100" s="250" t="s">
        <v>192</v>
      </c>
      <c r="AF100" s="250"/>
      <c r="AG100" s="236">
        <v>1641.34</v>
      </c>
      <c r="AH100" s="236">
        <v>6500</v>
      </c>
      <c r="AI100" s="236">
        <v>-4858.66</v>
      </c>
      <c r="AJ100" s="237">
        <v>0.25251000000000001</v>
      </c>
    </row>
    <row r="101" spans="9:36" x14ac:dyDescent="0.25">
      <c r="I101" s="1"/>
      <c r="L101" s="250"/>
      <c r="M101" s="250"/>
      <c r="N101" s="250"/>
      <c r="O101" s="250"/>
      <c r="P101" s="250" t="s">
        <v>158</v>
      </c>
      <c r="Q101" s="250"/>
      <c r="R101" s="250"/>
      <c r="S101" s="236"/>
      <c r="T101" s="236"/>
      <c r="U101" s="236"/>
      <c r="V101" s="237"/>
      <c r="X101" s="165"/>
      <c r="Y101" s="250"/>
      <c r="Z101" s="250"/>
      <c r="AA101" s="250"/>
      <c r="AB101" s="250"/>
      <c r="AC101" s="250"/>
      <c r="AD101" s="250"/>
      <c r="AE101" s="250" t="s">
        <v>193</v>
      </c>
      <c r="AF101" s="250"/>
      <c r="AG101" s="236">
        <v>44.67</v>
      </c>
      <c r="AH101" s="236">
        <v>5000</v>
      </c>
      <c r="AI101" s="236">
        <v>-4955.33</v>
      </c>
      <c r="AJ101" s="237">
        <v>8.9300000000000004E-3</v>
      </c>
    </row>
    <row r="102" spans="9:36" x14ac:dyDescent="0.25">
      <c r="I102" s="1"/>
      <c r="L102" s="250"/>
      <c r="M102" s="250"/>
      <c r="N102" s="250"/>
      <c r="O102" s="250"/>
      <c r="P102" s="250"/>
      <c r="Q102" s="250" t="s">
        <v>159</v>
      </c>
      <c r="R102" s="250"/>
      <c r="S102" s="236">
        <v>7085</v>
      </c>
      <c r="T102" s="236">
        <v>2200</v>
      </c>
      <c r="U102" s="236">
        <v>4885</v>
      </c>
      <c r="V102" s="237">
        <v>3.22045</v>
      </c>
      <c r="X102" s="165"/>
      <c r="Y102" s="250"/>
      <c r="Z102" s="250"/>
      <c r="AA102" s="250"/>
      <c r="AB102" s="250"/>
      <c r="AC102" s="250"/>
      <c r="AD102" s="250"/>
      <c r="AE102" s="250" t="s">
        <v>194</v>
      </c>
      <c r="AF102" s="250"/>
      <c r="AG102" s="236">
        <v>103.05</v>
      </c>
      <c r="AH102" s="236">
        <v>1666.66</v>
      </c>
      <c r="AI102" s="236">
        <v>-1563.61</v>
      </c>
      <c r="AJ102" s="237">
        <v>6.1830000000000003E-2</v>
      </c>
    </row>
    <row r="103" spans="9:36" ht="15.75" thickBot="1" x14ac:dyDescent="0.3">
      <c r="I103" s="1"/>
      <c r="L103" s="250"/>
      <c r="M103" s="250"/>
      <c r="N103" s="250"/>
      <c r="O103" s="250"/>
      <c r="P103" s="250"/>
      <c r="Q103" s="250" t="s">
        <v>160</v>
      </c>
      <c r="R103" s="250"/>
      <c r="S103" s="236">
        <v>0</v>
      </c>
      <c r="T103" s="236">
        <v>1000</v>
      </c>
      <c r="U103" s="236">
        <v>-1000</v>
      </c>
      <c r="V103" s="237">
        <v>0</v>
      </c>
      <c r="X103" s="165"/>
      <c r="Y103" s="250"/>
      <c r="Z103" s="250"/>
      <c r="AA103" s="250"/>
      <c r="AB103" s="250"/>
      <c r="AC103" s="250"/>
      <c r="AD103" s="250"/>
      <c r="AE103" s="250" t="s">
        <v>195</v>
      </c>
      <c r="AF103" s="250"/>
      <c r="AG103" s="238">
        <v>-359.34</v>
      </c>
      <c r="AH103" s="238"/>
      <c r="AI103" s="238"/>
      <c r="AJ103" s="239"/>
    </row>
    <row r="104" spans="9:36" ht="15.75" thickBot="1" x14ac:dyDescent="0.3">
      <c r="I104" s="1"/>
      <c r="L104" s="250"/>
      <c r="M104" s="250"/>
      <c r="N104" s="250"/>
      <c r="O104" s="250"/>
      <c r="P104" s="250"/>
      <c r="Q104" s="250" t="s">
        <v>161</v>
      </c>
      <c r="R104" s="250"/>
      <c r="S104" s="238">
        <v>0</v>
      </c>
      <c r="T104" s="238">
        <v>1000</v>
      </c>
      <c r="U104" s="238">
        <v>-1000</v>
      </c>
      <c r="V104" s="239">
        <v>0</v>
      </c>
      <c r="X104" s="165"/>
      <c r="Y104" s="250"/>
      <c r="Z104" s="250"/>
      <c r="AA104" s="250"/>
      <c r="AB104" s="250"/>
      <c r="AC104" s="250"/>
      <c r="AD104" s="250" t="s">
        <v>196</v>
      </c>
      <c r="AE104" s="250"/>
      <c r="AF104" s="250"/>
      <c r="AG104" s="236">
        <v>2755.72</v>
      </c>
      <c r="AH104" s="236">
        <v>86166.66</v>
      </c>
      <c r="AI104" s="236">
        <v>-83410.94</v>
      </c>
      <c r="AJ104" s="237">
        <v>3.1980000000000001E-2</v>
      </c>
    </row>
    <row r="105" spans="9:36" x14ac:dyDescent="0.25">
      <c r="I105" s="1"/>
      <c r="L105" s="250"/>
      <c r="M105" s="250"/>
      <c r="N105" s="250"/>
      <c r="O105" s="250"/>
      <c r="P105" s="250"/>
      <c r="Q105" s="250"/>
      <c r="R105" s="250"/>
      <c r="S105" s="236"/>
      <c r="T105" s="236"/>
      <c r="U105" s="236"/>
      <c r="V105" s="237"/>
      <c r="X105" s="165"/>
      <c r="Y105" s="250"/>
      <c r="Z105" s="250"/>
      <c r="AA105" s="250"/>
      <c r="AB105" s="250"/>
      <c r="AC105" s="250"/>
      <c r="AD105" s="250" t="s">
        <v>197</v>
      </c>
      <c r="AE105" s="250"/>
      <c r="AF105" s="250"/>
      <c r="AG105" s="236">
        <v>2316.59</v>
      </c>
      <c r="AH105" s="236">
        <v>4000</v>
      </c>
      <c r="AI105" s="236">
        <v>-1683.41</v>
      </c>
      <c r="AJ105" s="237">
        <v>0.57915000000000005</v>
      </c>
    </row>
    <row r="106" spans="9:36" ht="15.75" thickBot="1" x14ac:dyDescent="0.3">
      <c r="I106" s="1"/>
      <c r="L106" s="250"/>
      <c r="M106" s="250"/>
      <c r="N106" s="250"/>
      <c r="O106" s="250"/>
      <c r="P106" s="250" t="s">
        <v>162</v>
      </c>
      <c r="Q106" s="250"/>
      <c r="R106" s="250"/>
      <c r="S106" s="236">
        <v>7085</v>
      </c>
      <c r="T106" s="236">
        <v>4200</v>
      </c>
      <c r="U106" s="236">
        <v>2885</v>
      </c>
      <c r="V106" s="237">
        <v>1.6869000000000001</v>
      </c>
      <c r="X106" s="165"/>
      <c r="Y106" s="250"/>
      <c r="Z106" s="250"/>
      <c r="AA106" s="250"/>
      <c r="AB106" s="250"/>
      <c r="AC106" s="250"/>
      <c r="AD106" s="250" t="s">
        <v>198</v>
      </c>
      <c r="AE106" s="250"/>
      <c r="AF106" s="250"/>
      <c r="AG106" s="238">
        <v>1363.4</v>
      </c>
      <c r="AH106" s="238"/>
      <c r="AI106" s="238"/>
      <c r="AJ106" s="239"/>
    </row>
    <row r="107" spans="9:36" x14ac:dyDescent="0.25">
      <c r="I107" s="1"/>
      <c r="L107" s="250"/>
      <c r="M107" s="250"/>
      <c r="N107" s="250"/>
      <c r="O107" s="250"/>
      <c r="P107" s="250" t="s">
        <v>163</v>
      </c>
      <c r="Q107" s="250"/>
      <c r="R107" s="250"/>
      <c r="S107" s="236">
        <v>2008.45</v>
      </c>
      <c r="T107" s="236">
        <v>1275</v>
      </c>
      <c r="U107" s="236">
        <v>733.45</v>
      </c>
      <c r="V107" s="237">
        <v>1.57525</v>
      </c>
      <c r="X107" s="165"/>
      <c r="Y107" s="250"/>
      <c r="Z107" s="250"/>
      <c r="AA107" s="250"/>
      <c r="AB107" s="250"/>
      <c r="AC107" s="250" t="s">
        <v>199</v>
      </c>
      <c r="AD107" s="250"/>
      <c r="AE107" s="250"/>
      <c r="AF107" s="250"/>
      <c r="AG107" s="236">
        <v>53328.09</v>
      </c>
      <c r="AH107" s="236">
        <v>164283.98000000001</v>
      </c>
      <c r="AI107" s="236">
        <v>-110955.89</v>
      </c>
      <c r="AJ107" s="237">
        <v>0.32461000000000001</v>
      </c>
    </row>
    <row r="108" spans="9:36" x14ac:dyDescent="0.25">
      <c r="I108" s="1"/>
      <c r="L108" s="250"/>
      <c r="M108" s="250"/>
      <c r="N108" s="250"/>
      <c r="O108" s="250"/>
      <c r="P108" s="250"/>
      <c r="Q108" s="250"/>
      <c r="R108" s="250"/>
      <c r="S108" s="236"/>
      <c r="T108" s="236"/>
      <c r="U108" s="236"/>
      <c r="V108" s="237"/>
      <c r="X108" s="165"/>
      <c r="Y108" s="250"/>
      <c r="Z108" s="250"/>
      <c r="AA108" s="250"/>
      <c r="AB108" s="250"/>
      <c r="AC108" s="250" t="s">
        <v>200</v>
      </c>
      <c r="AD108" s="250"/>
      <c r="AE108" s="250"/>
      <c r="AF108" s="250"/>
      <c r="AG108" s="236">
        <v>169170</v>
      </c>
      <c r="AH108" s="236">
        <v>169290</v>
      </c>
      <c r="AI108" s="236">
        <v>-120</v>
      </c>
      <c r="AJ108" s="237">
        <v>0.99929000000000001</v>
      </c>
    </row>
    <row r="109" spans="9:36" ht="15.75" thickBot="1" x14ac:dyDescent="0.3">
      <c r="I109" s="1"/>
      <c r="L109" s="250"/>
      <c r="M109" s="250"/>
      <c r="N109" s="250"/>
      <c r="O109" s="250"/>
      <c r="P109" s="250"/>
      <c r="Q109" s="250"/>
      <c r="R109" s="250"/>
      <c r="S109" s="236"/>
      <c r="T109" s="236"/>
      <c r="U109" s="236"/>
      <c r="V109" s="237"/>
      <c r="X109" s="165"/>
      <c r="Y109" s="250"/>
      <c r="Z109" s="250"/>
      <c r="AA109" s="250"/>
      <c r="AB109" s="250"/>
      <c r="AC109" s="250" t="s">
        <v>201</v>
      </c>
      <c r="AD109" s="250"/>
      <c r="AE109" s="250"/>
      <c r="AF109" s="250"/>
      <c r="AG109" s="236">
        <v>0</v>
      </c>
      <c r="AH109" s="236">
        <v>0</v>
      </c>
      <c r="AI109" s="236">
        <v>0</v>
      </c>
      <c r="AJ109" s="237">
        <v>0</v>
      </c>
    </row>
    <row r="110" spans="9:36" ht="15.75" thickBot="1" x14ac:dyDescent="0.3">
      <c r="I110" s="1"/>
      <c r="L110" s="250"/>
      <c r="M110" s="250"/>
      <c r="N110" s="250"/>
      <c r="O110" s="250"/>
      <c r="P110" s="250"/>
      <c r="Q110" s="250"/>
      <c r="R110" s="250"/>
      <c r="S110" s="236"/>
      <c r="T110" s="236"/>
      <c r="U110" s="236"/>
      <c r="V110" s="237"/>
      <c r="X110" s="165"/>
      <c r="Y110" s="250"/>
      <c r="Z110" s="250"/>
      <c r="AA110" s="250"/>
      <c r="AB110" s="250" t="s">
        <v>81</v>
      </c>
      <c r="AC110" s="250"/>
      <c r="AD110" s="250"/>
      <c r="AE110" s="250"/>
      <c r="AF110" s="250"/>
      <c r="AG110" s="242">
        <v>412865.12</v>
      </c>
      <c r="AH110" s="242">
        <v>539657.26</v>
      </c>
      <c r="AI110" s="242">
        <v>-126792.14</v>
      </c>
      <c r="AJ110" s="243">
        <v>0.76505000000000001</v>
      </c>
    </row>
    <row r="111" spans="9:36" x14ac:dyDescent="0.25">
      <c r="I111" s="1"/>
      <c r="L111" s="250"/>
      <c r="M111" s="250"/>
      <c r="N111" s="250"/>
      <c r="O111" s="250"/>
      <c r="P111" s="250"/>
      <c r="Q111" s="250"/>
      <c r="R111" s="250"/>
      <c r="S111" s="236"/>
      <c r="T111" s="236"/>
      <c r="U111" s="236"/>
      <c r="V111" s="237"/>
      <c r="X111" s="165"/>
      <c r="Y111" s="250"/>
      <c r="Z111" s="250" t="s">
        <v>202</v>
      </c>
      <c r="AA111" s="250"/>
      <c r="AB111" s="250"/>
      <c r="AC111" s="250"/>
      <c r="AD111" s="250"/>
      <c r="AE111" s="250"/>
      <c r="AF111" s="250"/>
      <c r="AG111" s="236">
        <v>140137.16</v>
      </c>
      <c r="AH111" s="236">
        <v>43735.32</v>
      </c>
      <c r="AI111" s="236">
        <v>96401.84</v>
      </c>
      <c r="AJ111" s="237">
        <v>3.2042099999999998</v>
      </c>
    </row>
    <row r="112" spans="9:36" x14ac:dyDescent="0.25">
      <c r="I112" s="1"/>
      <c r="L112" s="250"/>
      <c r="M112" s="250"/>
      <c r="N112" s="250"/>
      <c r="O112" s="250"/>
      <c r="P112" s="250"/>
      <c r="Q112" s="250"/>
      <c r="R112" s="250"/>
      <c r="S112" s="236"/>
      <c r="T112" s="236"/>
      <c r="U112" s="236"/>
      <c r="V112" s="237"/>
      <c r="X112" s="165"/>
      <c r="Y112" s="250"/>
      <c r="Z112" s="250" t="s">
        <v>203</v>
      </c>
      <c r="AA112" s="250"/>
      <c r="AB112" s="250"/>
      <c r="AC112" s="250"/>
      <c r="AD112" s="250"/>
      <c r="AE112" s="250"/>
      <c r="AF112" s="250"/>
      <c r="AG112" s="236"/>
      <c r="AH112" s="236"/>
      <c r="AI112" s="236"/>
      <c r="AJ112" s="237"/>
    </row>
    <row r="113" spans="9:36" x14ac:dyDescent="0.25">
      <c r="I113" s="1"/>
      <c r="L113" s="250"/>
      <c r="M113" s="250"/>
      <c r="N113" s="250"/>
      <c r="O113" s="250"/>
      <c r="P113" s="250" t="s">
        <v>164</v>
      </c>
      <c r="Q113" s="250"/>
      <c r="R113" s="250"/>
      <c r="S113" s="236">
        <v>0</v>
      </c>
      <c r="T113" s="236">
        <v>300</v>
      </c>
      <c r="U113" s="236">
        <v>-300</v>
      </c>
      <c r="V113" s="237">
        <v>0</v>
      </c>
      <c r="X113" s="165"/>
      <c r="Y113" s="250"/>
      <c r="Z113" s="250"/>
      <c r="AA113" s="250" t="s">
        <v>61</v>
      </c>
      <c r="AB113" s="250"/>
      <c r="AC113" s="250"/>
      <c r="AD113" s="250"/>
      <c r="AE113" s="250"/>
      <c r="AF113" s="250"/>
      <c r="AG113" s="236"/>
      <c r="AH113" s="236"/>
      <c r="AI113" s="236"/>
      <c r="AJ113" s="237"/>
    </row>
    <row r="114" spans="9:36" x14ac:dyDescent="0.25">
      <c r="I114" s="1"/>
      <c r="X114" s="165"/>
      <c r="Y114" s="250"/>
      <c r="Z114" s="250"/>
      <c r="AA114" s="250"/>
      <c r="AB114" s="250" t="s">
        <v>204</v>
      </c>
      <c r="AC114" s="250"/>
      <c r="AD114" s="250"/>
      <c r="AE114" s="250"/>
      <c r="AF114" s="250"/>
      <c r="AG114" s="236"/>
      <c r="AH114" s="236"/>
      <c r="AI114" s="236"/>
      <c r="AJ114" s="237"/>
    </row>
    <row r="115" spans="9:36" x14ac:dyDescent="0.25">
      <c r="I115" s="1"/>
      <c r="L115" s="250"/>
      <c r="M115" s="250"/>
      <c r="N115" s="250"/>
      <c r="O115" s="250"/>
      <c r="P115" s="250" t="s">
        <v>165</v>
      </c>
      <c r="Q115" s="250"/>
      <c r="R115" s="250"/>
      <c r="S115" s="236"/>
      <c r="T115" s="236"/>
      <c r="U115" s="236"/>
      <c r="V115" s="237"/>
      <c r="X115" s="165"/>
      <c r="Y115" s="250"/>
      <c r="Z115" s="250"/>
      <c r="AA115" s="250"/>
      <c r="AB115" s="250"/>
      <c r="AC115" s="250" t="s">
        <v>205</v>
      </c>
      <c r="AD115" s="250"/>
      <c r="AE115" s="250"/>
      <c r="AF115" s="250"/>
      <c r="AG115" s="236">
        <v>63504</v>
      </c>
      <c r="AH115" s="236">
        <v>160575</v>
      </c>
      <c r="AI115" s="236">
        <v>-97071</v>
      </c>
      <c r="AJ115" s="237">
        <v>0.39548</v>
      </c>
    </row>
    <row r="116" spans="9:36" x14ac:dyDescent="0.25">
      <c r="L116" s="250"/>
      <c r="M116" s="250"/>
      <c r="N116" s="250"/>
      <c r="O116" s="250"/>
      <c r="P116" s="250"/>
      <c r="Q116" s="250" t="s">
        <v>166</v>
      </c>
      <c r="R116" s="250"/>
      <c r="S116" s="236">
        <v>400.08</v>
      </c>
      <c r="T116" s="236">
        <v>1575</v>
      </c>
      <c r="U116" s="236">
        <v>-1174.92</v>
      </c>
      <c r="V116" s="237">
        <v>0.25402000000000002</v>
      </c>
      <c r="X116" s="165"/>
      <c r="Y116" s="250"/>
      <c r="Z116" s="250"/>
      <c r="AA116" s="250"/>
      <c r="AB116" s="250"/>
      <c r="AC116" s="250" t="s">
        <v>206</v>
      </c>
      <c r="AD116" s="250"/>
      <c r="AE116" s="250"/>
      <c r="AF116" s="250"/>
      <c r="AG116" s="236">
        <v>53.28</v>
      </c>
      <c r="AH116" s="236">
        <v>105.46</v>
      </c>
      <c r="AI116" s="236">
        <v>-52.18</v>
      </c>
      <c r="AJ116" s="237">
        <v>0.50522</v>
      </c>
    </row>
    <row r="117" spans="9:36" x14ac:dyDescent="0.25">
      <c r="L117" s="250"/>
      <c r="M117" s="250"/>
      <c r="N117" s="250"/>
      <c r="O117" s="250"/>
      <c r="P117" s="250"/>
      <c r="Q117" s="250" t="s">
        <v>167</v>
      </c>
      <c r="R117" s="250"/>
      <c r="S117" s="236">
        <v>210</v>
      </c>
      <c r="T117" s="236">
        <v>191.6</v>
      </c>
      <c r="U117" s="236">
        <v>18.399999999999999</v>
      </c>
      <c r="V117" s="237">
        <v>1.0960300000000001</v>
      </c>
      <c r="X117" s="165"/>
      <c r="Y117" s="250"/>
      <c r="Z117" s="250"/>
      <c r="AA117" s="250"/>
      <c r="AB117" s="250"/>
      <c r="AC117" s="250" t="s">
        <v>207</v>
      </c>
      <c r="AD117" s="250"/>
      <c r="AE117" s="250"/>
      <c r="AF117" s="250"/>
      <c r="AG117" s="236">
        <v>302.43</v>
      </c>
      <c r="AH117" s="236">
        <v>2.4500000000000002</v>
      </c>
      <c r="AI117" s="236">
        <v>299.98</v>
      </c>
      <c r="AJ117" s="237">
        <v>123.44082</v>
      </c>
    </row>
    <row r="118" spans="9:36" ht="15.75" thickBot="1" x14ac:dyDescent="0.3">
      <c r="L118" s="250"/>
      <c r="M118" s="250"/>
      <c r="N118" s="250"/>
      <c r="O118" s="250"/>
      <c r="P118" s="250"/>
      <c r="Q118" s="250" t="s">
        <v>168</v>
      </c>
      <c r="R118" s="250"/>
      <c r="S118" s="236">
        <v>622.84</v>
      </c>
      <c r="T118" s="236">
        <v>1575</v>
      </c>
      <c r="U118" s="236">
        <v>-952.16</v>
      </c>
      <c r="V118" s="237">
        <v>0.39545000000000002</v>
      </c>
      <c r="X118" s="165"/>
      <c r="Y118" s="250"/>
      <c r="Z118" s="250"/>
      <c r="AA118" s="250"/>
      <c r="AB118" s="250"/>
      <c r="AC118" s="250" t="s">
        <v>208</v>
      </c>
      <c r="AD118" s="250"/>
      <c r="AE118" s="250"/>
      <c r="AF118" s="250"/>
      <c r="AG118" s="236">
        <v>1341.51</v>
      </c>
      <c r="AH118" s="236">
        <v>1626.29</v>
      </c>
      <c r="AI118" s="236">
        <v>-284.77999999999997</v>
      </c>
      <c r="AJ118" s="237">
        <v>0.82489000000000001</v>
      </c>
    </row>
    <row r="119" spans="9:36" ht="15.75" thickBot="1" x14ac:dyDescent="0.3">
      <c r="L119" s="250"/>
      <c r="M119" s="250"/>
      <c r="N119" s="250"/>
      <c r="O119" s="250"/>
      <c r="P119" s="250"/>
      <c r="Q119" s="250" t="s">
        <v>169</v>
      </c>
      <c r="R119" s="250"/>
      <c r="S119" s="236">
        <v>2996.49</v>
      </c>
      <c r="T119" s="236">
        <v>2216</v>
      </c>
      <c r="U119" s="236">
        <v>780.49</v>
      </c>
      <c r="V119" s="237">
        <v>1.3522099999999999</v>
      </c>
      <c r="X119" s="165"/>
      <c r="Y119" s="250"/>
      <c r="Z119" s="250"/>
      <c r="AA119" s="250"/>
      <c r="AB119" s="250" t="s">
        <v>209</v>
      </c>
      <c r="AC119" s="250"/>
      <c r="AD119" s="250"/>
      <c r="AE119" s="250"/>
      <c r="AF119" s="250"/>
      <c r="AG119" s="242">
        <v>65201.22</v>
      </c>
      <c r="AH119" s="242">
        <v>162309.20000000001</v>
      </c>
      <c r="AI119" s="242">
        <v>-97107.98</v>
      </c>
      <c r="AJ119" s="243">
        <v>0.40171000000000001</v>
      </c>
    </row>
    <row r="120" spans="9:36" ht="15.75" thickBot="1" x14ac:dyDescent="0.3">
      <c r="L120" s="250"/>
      <c r="M120" s="250"/>
      <c r="N120" s="250"/>
      <c r="O120" s="250"/>
      <c r="P120" s="250"/>
      <c r="Q120" s="250" t="s">
        <v>170</v>
      </c>
      <c r="R120" s="250"/>
      <c r="S120" s="238">
        <v>192</v>
      </c>
      <c r="T120" s="238">
        <v>320</v>
      </c>
      <c r="U120" s="238">
        <v>-128</v>
      </c>
      <c r="V120" s="239">
        <v>0.6</v>
      </c>
      <c r="X120" s="165"/>
      <c r="Y120" s="250"/>
      <c r="Z120" s="250"/>
      <c r="AA120" s="250" t="s">
        <v>210</v>
      </c>
      <c r="AB120" s="250"/>
      <c r="AC120" s="250"/>
      <c r="AD120" s="250"/>
      <c r="AE120" s="250"/>
      <c r="AF120" s="250"/>
      <c r="AG120" s="236">
        <v>65201.22</v>
      </c>
      <c r="AH120" s="236">
        <v>162309.20000000001</v>
      </c>
      <c r="AI120" s="236">
        <v>-97107.98</v>
      </c>
      <c r="AJ120" s="237">
        <v>0.40171000000000001</v>
      </c>
    </row>
    <row r="121" spans="9:36" x14ac:dyDescent="0.25">
      <c r="L121" s="250"/>
      <c r="M121" s="250"/>
      <c r="N121" s="250"/>
      <c r="O121" s="250"/>
      <c r="P121" s="250" t="s">
        <v>171</v>
      </c>
      <c r="Q121" s="250"/>
      <c r="R121" s="250"/>
      <c r="S121" s="236">
        <v>4421.41</v>
      </c>
      <c r="T121" s="236">
        <v>5877.6</v>
      </c>
      <c r="U121" s="236">
        <v>-1456.19</v>
      </c>
      <c r="V121" s="237">
        <v>0.75224999999999997</v>
      </c>
      <c r="X121" s="165"/>
      <c r="Y121" s="250"/>
      <c r="Z121" s="250"/>
      <c r="AA121" s="250" t="s">
        <v>211</v>
      </c>
      <c r="AB121" s="250"/>
      <c r="AC121" s="250"/>
      <c r="AD121" s="250"/>
      <c r="AE121" s="250"/>
      <c r="AF121" s="250"/>
      <c r="AG121" s="236"/>
      <c r="AH121" s="236"/>
      <c r="AI121" s="236"/>
      <c r="AJ121" s="237"/>
    </row>
    <row r="122" spans="9:36" x14ac:dyDescent="0.25">
      <c r="L122" s="250"/>
      <c r="M122" s="250"/>
      <c r="N122" s="250"/>
      <c r="O122" s="250"/>
      <c r="P122" s="250"/>
      <c r="Q122" s="250"/>
      <c r="R122" s="250"/>
      <c r="S122" s="236"/>
      <c r="T122" s="236"/>
      <c r="U122" s="236"/>
      <c r="V122" s="237"/>
      <c r="X122" s="165"/>
      <c r="Y122" s="250"/>
      <c r="Z122" s="250"/>
      <c r="AA122" s="250"/>
      <c r="AB122" s="250" t="s">
        <v>212</v>
      </c>
      <c r="AC122" s="250"/>
      <c r="AD122" s="250"/>
      <c r="AE122" s="250"/>
      <c r="AF122" s="250"/>
      <c r="AG122" s="236"/>
      <c r="AH122" s="236"/>
      <c r="AI122" s="236"/>
      <c r="AJ122" s="237"/>
    </row>
    <row r="123" spans="9:36" ht="15.75" thickBot="1" x14ac:dyDescent="0.3">
      <c r="L123" s="250"/>
      <c r="M123" s="250"/>
      <c r="N123" s="250"/>
      <c r="O123" s="250"/>
      <c r="P123" s="250" t="s">
        <v>172</v>
      </c>
      <c r="Q123" s="250"/>
      <c r="R123" s="250"/>
      <c r="S123" s="238">
        <v>62.75</v>
      </c>
      <c r="T123" s="238"/>
      <c r="U123" s="238"/>
      <c r="V123" s="239"/>
      <c r="X123" s="165"/>
      <c r="Y123" s="250"/>
      <c r="Z123" s="250"/>
      <c r="AA123" s="250"/>
      <c r="AB123" s="250"/>
      <c r="AC123" s="250" t="s">
        <v>213</v>
      </c>
      <c r="AD123" s="250"/>
      <c r="AE123" s="250"/>
      <c r="AF123" s="250"/>
      <c r="AG123" s="236">
        <v>0</v>
      </c>
      <c r="AH123" s="236">
        <v>208334</v>
      </c>
      <c r="AI123" s="236">
        <v>-208334</v>
      </c>
      <c r="AJ123" s="237">
        <v>0</v>
      </c>
    </row>
    <row r="124" spans="9:36" x14ac:dyDescent="0.25">
      <c r="L124" s="250"/>
      <c r="M124" s="250"/>
      <c r="N124" s="250"/>
      <c r="O124" s="250" t="s">
        <v>173</v>
      </c>
      <c r="P124" s="250"/>
      <c r="Q124" s="250"/>
      <c r="R124" s="250"/>
      <c r="S124" s="236">
        <v>172304.65</v>
      </c>
      <c r="T124" s="236">
        <v>188019.54</v>
      </c>
      <c r="U124" s="236">
        <v>-15714.89</v>
      </c>
      <c r="V124" s="237">
        <v>0.91642000000000001</v>
      </c>
      <c r="X124" s="165"/>
      <c r="Y124" s="250"/>
      <c r="Z124" s="250"/>
      <c r="AA124" s="250"/>
      <c r="AB124" s="250"/>
      <c r="AC124" s="250" t="s">
        <v>214</v>
      </c>
      <c r="AD124" s="250"/>
      <c r="AE124" s="250"/>
      <c r="AF124" s="250"/>
      <c r="AG124" s="236">
        <v>159281.13</v>
      </c>
      <c r="AH124" s="236">
        <v>166666</v>
      </c>
      <c r="AI124" s="236">
        <v>-7384.87</v>
      </c>
      <c r="AJ124" s="237">
        <v>0.95569000000000004</v>
      </c>
    </row>
    <row r="125" spans="9:36" ht="15.75" thickBot="1" x14ac:dyDescent="0.3">
      <c r="L125" s="250"/>
      <c r="M125" s="250"/>
      <c r="N125" s="250"/>
      <c r="O125" s="250" t="s">
        <v>174</v>
      </c>
      <c r="P125" s="250"/>
      <c r="Q125" s="250"/>
      <c r="R125" s="250"/>
      <c r="S125" s="236"/>
      <c r="T125" s="236"/>
      <c r="U125" s="236"/>
      <c r="V125" s="237"/>
      <c r="X125" s="165"/>
      <c r="Y125" s="250"/>
      <c r="Z125" s="250"/>
      <c r="AA125" s="250"/>
      <c r="AB125" s="250"/>
      <c r="AC125" s="250" t="s">
        <v>215</v>
      </c>
      <c r="AD125" s="250"/>
      <c r="AE125" s="250"/>
      <c r="AF125" s="250"/>
      <c r="AG125" s="236">
        <v>75</v>
      </c>
      <c r="AH125" s="236"/>
      <c r="AI125" s="236"/>
      <c r="AJ125" s="237"/>
    </row>
    <row r="126" spans="9:36" ht="15.75" thickBot="1" x14ac:dyDescent="0.3">
      <c r="L126" s="250"/>
      <c r="M126" s="250"/>
      <c r="N126" s="250"/>
      <c r="O126" s="250"/>
      <c r="P126" s="250" t="s">
        <v>175</v>
      </c>
      <c r="Q126" s="250"/>
      <c r="R126" s="250"/>
      <c r="S126" s="236"/>
      <c r="T126" s="236"/>
      <c r="U126" s="236"/>
      <c r="V126" s="237"/>
      <c r="X126" s="165"/>
      <c r="Y126" s="250"/>
      <c r="Z126" s="250"/>
      <c r="AA126" s="250"/>
      <c r="AB126" s="250" t="s">
        <v>216</v>
      </c>
      <c r="AC126" s="250"/>
      <c r="AD126" s="250"/>
      <c r="AE126" s="250"/>
      <c r="AF126" s="250"/>
      <c r="AG126" s="240">
        <v>159356.13</v>
      </c>
      <c r="AH126" s="240">
        <v>375000</v>
      </c>
      <c r="AI126" s="240">
        <v>-215643.87</v>
      </c>
      <c r="AJ126" s="241">
        <v>0.42494999999999999</v>
      </c>
    </row>
    <row r="127" spans="9:36" ht="15.75" thickBot="1" x14ac:dyDescent="0.3">
      <c r="X127" s="165"/>
      <c r="Y127" s="250"/>
      <c r="Z127" s="250"/>
      <c r="AA127" s="250" t="s">
        <v>217</v>
      </c>
      <c r="AB127" s="250"/>
      <c r="AC127" s="250"/>
      <c r="AD127" s="250"/>
      <c r="AE127" s="250"/>
      <c r="AF127" s="250"/>
      <c r="AG127" s="240">
        <v>159356.13</v>
      </c>
      <c r="AH127" s="240">
        <v>375000</v>
      </c>
      <c r="AI127" s="240">
        <v>-215643.87</v>
      </c>
      <c r="AJ127" s="241">
        <v>0.42494999999999999</v>
      </c>
    </row>
    <row r="128" spans="9:36" ht="15.75" thickBot="1" x14ac:dyDescent="0.3">
      <c r="X128" s="165"/>
      <c r="Y128" s="250"/>
      <c r="Z128" s="250" t="s">
        <v>218</v>
      </c>
      <c r="AA128" s="250"/>
      <c r="AB128" s="250"/>
      <c r="AC128" s="250"/>
      <c r="AD128" s="250"/>
      <c r="AE128" s="250"/>
      <c r="AF128" s="250"/>
      <c r="AG128" s="240">
        <v>-94154.91</v>
      </c>
      <c r="AH128" s="240">
        <v>-212690.8</v>
      </c>
      <c r="AI128" s="240">
        <v>118535.89</v>
      </c>
      <c r="AJ128" s="241">
        <v>0.44268000000000002</v>
      </c>
    </row>
    <row r="129" spans="12:36" ht="15.75" thickBot="1" x14ac:dyDescent="0.3">
      <c r="X129" s="165"/>
      <c r="Y129" s="250" t="s">
        <v>226</v>
      </c>
      <c r="Z129" s="250"/>
      <c r="AA129" s="250"/>
      <c r="AB129" s="250"/>
      <c r="AC129" s="250"/>
      <c r="AD129" s="250"/>
      <c r="AE129" s="250"/>
      <c r="AF129" s="250"/>
      <c r="AG129" s="244">
        <v>45982.25</v>
      </c>
      <c r="AH129" s="244">
        <v>-168955.48</v>
      </c>
      <c r="AI129" s="244">
        <v>214937.73</v>
      </c>
      <c r="AJ129" s="245">
        <v>-0.27216000000000001</v>
      </c>
    </row>
    <row r="130" spans="12:36" ht="15.75" thickTop="1" x14ac:dyDescent="0.25">
      <c r="X130" s="165"/>
    </row>
    <row r="131" spans="12:36" x14ac:dyDescent="0.25">
      <c r="L131" s="250"/>
      <c r="M131" s="250"/>
      <c r="N131" s="250"/>
      <c r="O131" s="250"/>
      <c r="P131" s="250"/>
      <c r="Q131" s="250" t="s">
        <v>176</v>
      </c>
      <c r="R131" s="250"/>
      <c r="S131" s="236">
        <v>742.1</v>
      </c>
      <c r="T131" s="236">
        <v>1125</v>
      </c>
      <c r="U131" s="236">
        <v>-382.9</v>
      </c>
      <c r="V131" s="237">
        <v>0.65964</v>
      </c>
      <c r="X131" s="165"/>
      <c r="Y131" s="250"/>
      <c r="Z131" s="250"/>
      <c r="AA131" s="250"/>
      <c r="AB131" s="250"/>
      <c r="AC131" s="250"/>
      <c r="AD131" s="250" t="s">
        <v>176</v>
      </c>
      <c r="AE131" s="250"/>
      <c r="AF131" s="236">
        <v>742.1</v>
      </c>
      <c r="AG131" s="236">
        <v>1125</v>
      </c>
      <c r="AH131" s="236">
        <v>-382.9</v>
      </c>
      <c r="AI131" s="237">
        <v>0.65964</v>
      </c>
    </row>
    <row r="132" spans="12:36" x14ac:dyDescent="0.25">
      <c r="L132" s="250"/>
      <c r="M132" s="250"/>
      <c r="N132" s="250"/>
      <c r="O132" s="250"/>
      <c r="P132" s="250"/>
      <c r="Q132" s="250"/>
      <c r="R132" s="250"/>
      <c r="S132" s="236"/>
      <c r="T132" s="236"/>
      <c r="U132" s="236"/>
      <c r="V132" s="237"/>
      <c r="X132" s="165"/>
      <c r="Y132" s="250"/>
      <c r="Z132" s="250"/>
      <c r="AA132" s="250"/>
      <c r="AB132" s="250"/>
      <c r="AC132" s="250"/>
      <c r="AD132" s="250"/>
      <c r="AE132" s="250"/>
      <c r="AF132" s="236"/>
      <c r="AG132" s="236"/>
      <c r="AH132" s="236"/>
      <c r="AI132" s="237"/>
    </row>
    <row r="133" spans="12:36" x14ac:dyDescent="0.25">
      <c r="L133" s="250"/>
      <c r="M133" s="250"/>
      <c r="N133" s="250"/>
      <c r="O133" s="250"/>
      <c r="P133" s="250"/>
      <c r="Q133" s="250" t="s">
        <v>177</v>
      </c>
      <c r="R133" s="250"/>
      <c r="S133" s="236">
        <v>61.13</v>
      </c>
      <c r="T133" s="236">
        <v>900</v>
      </c>
      <c r="U133" s="236">
        <v>-838.87</v>
      </c>
      <c r="V133" s="237">
        <v>6.7919999999999994E-2</v>
      </c>
      <c r="Y133" s="250"/>
      <c r="Z133" s="250"/>
      <c r="AA133" s="250"/>
      <c r="AB133" s="250"/>
      <c r="AC133" s="250"/>
      <c r="AD133" s="250" t="s">
        <v>177</v>
      </c>
      <c r="AE133" s="250"/>
      <c r="AF133" s="236">
        <v>61.13</v>
      </c>
      <c r="AG133" s="236">
        <v>900</v>
      </c>
      <c r="AH133" s="236">
        <v>-838.87</v>
      </c>
      <c r="AI133" s="237">
        <v>6.7919999999999994E-2</v>
      </c>
    </row>
    <row r="134" spans="12:36" x14ac:dyDescent="0.25">
      <c r="L134" s="250"/>
      <c r="M134" s="250"/>
      <c r="N134" s="250"/>
      <c r="O134" s="250"/>
      <c r="P134" s="250"/>
      <c r="Q134" s="250" t="s">
        <v>178</v>
      </c>
      <c r="R134" s="250"/>
      <c r="S134" s="236">
        <v>395.82</v>
      </c>
      <c r="T134" s="236">
        <v>599.99</v>
      </c>
      <c r="U134" s="236">
        <v>-204.17</v>
      </c>
      <c r="V134" s="237">
        <v>0.65971000000000002</v>
      </c>
      <c r="Y134" s="250"/>
      <c r="Z134" s="250"/>
      <c r="AA134" s="250"/>
      <c r="AB134" s="250"/>
      <c r="AC134" s="250"/>
      <c r="AD134" s="250" t="s">
        <v>178</v>
      </c>
      <c r="AE134" s="250"/>
      <c r="AF134" s="236">
        <v>395.82</v>
      </c>
      <c r="AG134" s="236">
        <v>599.99</v>
      </c>
      <c r="AH134" s="236">
        <v>-204.17</v>
      </c>
      <c r="AI134" s="237">
        <v>0.65971000000000002</v>
      </c>
    </row>
    <row r="135" spans="12:36" x14ac:dyDescent="0.25">
      <c r="L135" s="250"/>
      <c r="M135" s="250"/>
      <c r="Y135" s="250"/>
      <c r="Z135" s="250"/>
    </row>
    <row r="141" spans="12:36" ht="15.75" thickBot="1" x14ac:dyDescent="0.3">
      <c r="N141" s="250"/>
      <c r="O141" s="250"/>
      <c r="P141" s="250"/>
      <c r="Q141" s="250" t="s">
        <v>179</v>
      </c>
      <c r="R141" s="250"/>
      <c r="S141" s="238">
        <v>121.55</v>
      </c>
      <c r="T141" s="238">
        <v>487.49</v>
      </c>
      <c r="U141" s="238">
        <v>-365.94</v>
      </c>
      <c r="V141" s="239">
        <v>0.24934000000000001</v>
      </c>
      <c r="AA141" s="250"/>
      <c r="AB141" s="250"/>
      <c r="AC141" s="250"/>
      <c r="AD141" s="250" t="s">
        <v>179</v>
      </c>
      <c r="AE141" s="250"/>
      <c r="AF141" s="238">
        <v>121.55</v>
      </c>
      <c r="AG141" s="238">
        <v>487.49</v>
      </c>
      <c r="AH141" s="238">
        <v>-365.94</v>
      </c>
      <c r="AI141" s="239">
        <v>0.24934000000000001</v>
      </c>
    </row>
    <row r="143" spans="12:36" x14ac:dyDescent="0.25">
      <c r="L143" s="250"/>
      <c r="M143" s="250"/>
      <c r="N143" s="250"/>
      <c r="O143" s="250"/>
      <c r="P143" s="250" t="s">
        <v>180</v>
      </c>
      <c r="Q143" s="250"/>
      <c r="R143" s="250"/>
      <c r="S143" s="236">
        <v>1320.6</v>
      </c>
      <c r="T143" s="236">
        <v>3112.48</v>
      </c>
      <c r="U143" s="236">
        <v>-1791.88</v>
      </c>
      <c r="V143" s="237">
        <v>0.42429</v>
      </c>
      <c r="Y143" s="250"/>
      <c r="Z143" s="250"/>
      <c r="AA143" s="250"/>
      <c r="AB143" s="250"/>
      <c r="AC143" s="250" t="s">
        <v>180</v>
      </c>
      <c r="AD143" s="250"/>
      <c r="AE143" s="250"/>
      <c r="AF143" s="236">
        <v>1320.6</v>
      </c>
      <c r="AG143" s="236">
        <v>3112.48</v>
      </c>
      <c r="AH143" s="236">
        <v>-1791.88</v>
      </c>
      <c r="AI143" s="237">
        <v>0.42429</v>
      </c>
    </row>
    <row r="144" spans="12:36" x14ac:dyDescent="0.25">
      <c r="L144" s="250"/>
      <c r="M144" s="250"/>
      <c r="N144" s="250"/>
      <c r="O144" s="250"/>
      <c r="P144" s="250" t="s">
        <v>181</v>
      </c>
      <c r="Q144" s="250"/>
      <c r="R144" s="250"/>
      <c r="S144" s="236"/>
      <c r="T144" s="236"/>
      <c r="U144" s="236"/>
      <c r="V144" s="237"/>
      <c r="Y144" s="250"/>
      <c r="Z144" s="250"/>
      <c r="AA144" s="250"/>
      <c r="AB144" s="250"/>
      <c r="AC144" s="250" t="s">
        <v>181</v>
      </c>
      <c r="AD144" s="250"/>
      <c r="AE144" s="250"/>
      <c r="AF144" s="236"/>
      <c r="AG144" s="236"/>
      <c r="AH144" s="236"/>
      <c r="AI144" s="237"/>
    </row>
    <row r="145" spans="12:35" x14ac:dyDescent="0.25">
      <c r="L145" s="250"/>
      <c r="M145" s="250"/>
      <c r="N145" s="250"/>
      <c r="O145" s="250"/>
      <c r="P145" s="250"/>
      <c r="Q145" s="250" t="s">
        <v>182</v>
      </c>
      <c r="R145" s="250"/>
      <c r="S145" s="236">
        <v>3012.49</v>
      </c>
      <c r="T145" s="236">
        <v>16500.009999999998</v>
      </c>
      <c r="U145" s="236">
        <v>-13487.52</v>
      </c>
      <c r="V145" s="237">
        <v>0.18257999999999999</v>
      </c>
      <c r="Y145" s="250"/>
      <c r="Z145" s="250"/>
      <c r="AA145" s="250"/>
      <c r="AB145" s="250"/>
      <c r="AC145" s="250"/>
      <c r="AD145" s="250" t="s">
        <v>182</v>
      </c>
      <c r="AE145" s="250"/>
      <c r="AF145" s="236">
        <v>3012.49</v>
      </c>
      <c r="AG145" s="236">
        <v>16500.009999999998</v>
      </c>
      <c r="AH145" s="236">
        <v>-13487.52</v>
      </c>
      <c r="AI145" s="237">
        <v>0.18257999999999999</v>
      </c>
    </row>
    <row r="149" spans="12:35" x14ac:dyDescent="0.25">
      <c r="L149" s="250"/>
      <c r="M149" s="250"/>
      <c r="N149" s="250"/>
      <c r="O149" s="250"/>
      <c r="P149" s="250"/>
      <c r="Q149" s="250" t="s">
        <v>183</v>
      </c>
      <c r="R149" s="250"/>
      <c r="S149" s="236">
        <v>8464</v>
      </c>
      <c r="T149" s="236">
        <v>11400</v>
      </c>
      <c r="U149" s="236">
        <v>-2936</v>
      </c>
      <c r="V149" s="237">
        <v>0.74246000000000001</v>
      </c>
      <c r="Y149" s="250"/>
      <c r="Z149" s="250"/>
      <c r="AA149" s="250"/>
      <c r="AB149" s="250"/>
      <c r="AC149" s="250"/>
      <c r="AD149" s="250" t="s">
        <v>183</v>
      </c>
      <c r="AE149" s="250"/>
      <c r="AF149" s="236">
        <v>8464</v>
      </c>
      <c r="AG149" s="236">
        <v>11400</v>
      </c>
      <c r="AH149" s="236">
        <v>-2936</v>
      </c>
      <c r="AI149" s="237">
        <v>0.74246000000000001</v>
      </c>
    </row>
    <row r="150" spans="12:35" x14ac:dyDescent="0.25">
      <c r="L150" s="250"/>
      <c r="M150" s="250"/>
      <c r="N150" s="250"/>
      <c r="O150" s="250"/>
      <c r="P150" s="250"/>
      <c r="Q150" s="250" t="s">
        <v>184</v>
      </c>
      <c r="R150" s="250"/>
      <c r="S150" s="236">
        <v>293.17</v>
      </c>
      <c r="T150" s="236">
        <v>4500</v>
      </c>
      <c r="U150" s="236">
        <v>-4206.83</v>
      </c>
      <c r="V150" s="237">
        <v>6.515E-2</v>
      </c>
      <c r="Y150" s="250"/>
      <c r="Z150" s="250"/>
      <c r="AA150" s="250"/>
      <c r="AB150" s="250"/>
      <c r="AC150" s="250"/>
      <c r="AD150" s="250" t="s">
        <v>184</v>
      </c>
      <c r="AE150" s="250"/>
      <c r="AF150" s="236">
        <v>293.17</v>
      </c>
      <c r="AG150" s="236">
        <v>4500</v>
      </c>
      <c r="AH150" s="236">
        <v>-4206.83</v>
      </c>
      <c r="AI150" s="237">
        <v>6.515E-2</v>
      </c>
    </row>
    <row r="151" spans="12:35" x14ac:dyDescent="0.25">
      <c r="L151" s="250"/>
      <c r="M151" s="250"/>
      <c r="N151" s="250"/>
      <c r="O151" s="250"/>
      <c r="P151" s="250"/>
      <c r="Q151" s="250" t="s">
        <v>185</v>
      </c>
      <c r="R151" s="250"/>
      <c r="S151" s="236">
        <v>3815</v>
      </c>
      <c r="T151" s="236">
        <v>3759</v>
      </c>
      <c r="U151" s="236">
        <v>56</v>
      </c>
      <c r="V151" s="237">
        <v>1.0148999999999999</v>
      </c>
      <c r="Y151" s="250"/>
      <c r="Z151" s="250"/>
      <c r="AA151" s="250"/>
      <c r="AB151" s="250"/>
      <c r="AC151" s="250"/>
      <c r="AD151" s="250" t="s">
        <v>185</v>
      </c>
      <c r="AE151" s="250"/>
      <c r="AF151" s="236">
        <v>3815</v>
      </c>
      <c r="AG151" s="236">
        <v>3759</v>
      </c>
      <c r="AH151" s="236">
        <v>56</v>
      </c>
      <c r="AI151" s="237">
        <v>1.0148999999999999</v>
      </c>
    </row>
    <row r="154" spans="12:35" x14ac:dyDescent="0.25">
      <c r="L154" s="250"/>
      <c r="M154" s="250"/>
      <c r="N154" s="250"/>
      <c r="O154" s="250"/>
      <c r="P154" s="250"/>
      <c r="Q154" s="250" t="s">
        <v>186</v>
      </c>
      <c r="R154" s="250"/>
      <c r="S154" s="236">
        <v>11764.75</v>
      </c>
      <c r="T154" s="236">
        <v>6000</v>
      </c>
      <c r="U154" s="236">
        <v>5764.75</v>
      </c>
      <c r="V154" s="237">
        <v>1.96079</v>
      </c>
      <c r="Y154" s="250"/>
      <c r="Z154" s="250"/>
      <c r="AA154" s="250"/>
      <c r="AB154" s="250"/>
      <c r="AC154" s="250"/>
      <c r="AD154" s="250" t="s">
        <v>186</v>
      </c>
      <c r="AE154" s="250"/>
      <c r="AF154" s="236">
        <v>11764.75</v>
      </c>
      <c r="AG154" s="236">
        <v>6000</v>
      </c>
      <c r="AH154" s="236">
        <v>5764.75</v>
      </c>
      <c r="AI154" s="237">
        <v>1.96079</v>
      </c>
    </row>
    <row r="155" spans="12:35" ht="15.75" thickBot="1" x14ac:dyDescent="0.3">
      <c r="L155" s="250"/>
      <c r="M155" s="250"/>
      <c r="N155" s="250"/>
      <c r="O155" s="250"/>
      <c r="P155" s="250"/>
      <c r="Q155" s="250" t="s">
        <v>187</v>
      </c>
      <c r="R155" s="250"/>
      <c r="S155" s="238">
        <v>15529.11</v>
      </c>
      <c r="T155" s="238">
        <v>23999.99</v>
      </c>
      <c r="U155" s="238">
        <v>-8470.8799999999992</v>
      </c>
      <c r="V155" s="239">
        <v>0.64705000000000001</v>
      </c>
      <c r="Y155" s="250"/>
      <c r="Z155" s="250"/>
      <c r="AA155" s="250"/>
      <c r="AB155" s="250"/>
      <c r="AC155" s="250"/>
      <c r="AD155" s="250" t="s">
        <v>187</v>
      </c>
      <c r="AE155" s="250"/>
      <c r="AF155" s="238">
        <v>15529.11</v>
      </c>
      <c r="AG155" s="238">
        <v>23999.99</v>
      </c>
      <c r="AH155" s="238">
        <v>-8470.8799999999992</v>
      </c>
      <c r="AI155" s="239">
        <v>0.64705000000000001</v>
      </c>
    </row>
    <row r="157" spans="12:35" x14ac:dyDescent="0.25">
      <c r="L157" s="250"/>
      <c r="M157" s="250"/>
      <c r="N157" s="250"/>
      <c r="O157" s="250"/>
      <c r="P157" s="250" t="s">
        <v>188</v>
      </c>
      <c r="Q157" s="250"/>
      <c r="R157" s="250"/>
      <c r="S157" s="236">
        <v>42878.52</v>
      </c>
      <c r="T157" s="236">
        <v>66159</v>
      </c>
      <c r="U157" s="236">
        <v>-23280.48</v>
      </c>
      <c r="V157" s="237">
        <v>0.64810999999999996</v>
      </c>
      <c r="Y157" s="250"/>
      <c r="Z157" s="250"/>
      <c r="AA157" s="250"/>
      <c r="AB157" s="250"/>
      <c r="AC157" s="250" t="s">
        <v>188</v>
      </c>
      <c r="AD157" s="250"/>
      <c r="AE157" s="250"/>
      <c r="AF157" s="236">
        <v>42878.52</v>
      </c>
      <c r="AG157" s="236">
        <v>66159</v>
      </c>
      <c r="AH157" s="236">
        <v>-23280.48</v>
      </c>
      <c r="AI157" s="237">
        <v>0.64810999999999996</v>
      </c>
    </row>
    <row r="158" spans="12:35" x14ac:dyDescent="0.25">
      <c r="L158" s="250"/>
      <c r="M158" s="250"/>
      <c r="N158" s="250"/>
      <c r="O158" s="250"/>
      <c r="P158" s="250" t="s">
        <v>189</v>
      </c>
      <c r="Q158" s="250"/>
      <c r="R158" s="250"/>
      <c r="S158" s="236"/>
      <c r="T158" s="236"/>
      <c r="U158" s="236"/>
      <c r="V158" s="237"/>
      <c r="Y158" s="250"/>
      <c r="Z158" s="250"/>
      <c r="AA158" s="250"/>
      <c r="AB158" s="250"/>
      <c r="AC158" s="250" t="s">
        <v>189</v>
      </c>
      <c r="AD158" s="250"/>
      <c r="AE158" s="250"/>
      <c r="AF158" s="236"/>
      <c r="AG158" s="236"/>
      <c r="AH158" s="236"/>
      <c r="AI158" s="237"/>
    </row>
    <row r="159" spans="12:35" x14ac:dyDescent="0.25">
      <c r="L159" s="250"/>
      <c r="M159" s="250"/>
      <c r="N159" s="250"/>
      <c r="O159" s="250"/>
      <c r="P159" s="250"/>
      <c r="Q159" s="250" t="s">
        <v>190</v>
      </c>
      <c r="R159" s="250"/>
      <c r="S159" s="236">
        <v>495</v>
      </c>
      <c r="T159" s="236">
        <v>28000</v>
      </c>
      <c r="U159" s="236">
        <v>-27505</v>
      </c>
      <c r="V159" s="237">
        <v>1.7680000000000001E-2</v>
      </c>
      <c r="Y159" s="250"/>
      <c r="Z159" s="250"/>
      <c r="AA159" s="250"/>
      <c r="AB159" s="250"/>
      <c r="AC159" s="250"/>
      <c r="AD159" s="250" t="s">
        <v>190</v>
      </c>
      <c r="AE159" s="250"/>
      <c r="AF159" s="236">
        <v>495</v>
      </c>
      <c r="AG159" s="236">
        <v>28000</v>
      </c>
      <c r="AH159" s="236">
        <v>-27505</v>
      </c>
      <c r="AI159" s="237">
        <v>1.7680000000000001E-2</v>
      </c>
    </row>
    <row r="160" spans="12:35" x14ac:dyDescent="0.25">
      <c r="L160" s="250"/>
      <c r="M160" s="250"/>
      <c r="N160" s="250"/>
      <c r="O160" s="250"/>
      <c r="P160" s="250"/>
      <c r="Q160" s="250" t="s">
        <v>191</v>
      </c>
      <c r="R160" s="250"/>
      <c r="S160" s="236">
        <v>0</v>
      </c>
      <c r="T160" s="236">
        <v>45000</v>
      </c>
      <c r="U160" s="236">
        <v>-45000</v>
      </c>
      <c r="V160" s="237">
        <v>0</v>
      </c>
      <c r="Y160" s="250"/>
      <c r="Z160" s="250"/>
      <c r="AA160" s="250"/>
      <c r="AB160" s="250"/>
      <c r="AC160" s="250"/>
      <c r="AD160" s="250" t="s">
        <v>191</v>
      </c>
      <c r="AE160" s="250"/>
      <c r="AF160" s="236">
        <v>0</v>
      </c>
      <c r="AG160" s="236">
        <v>45000</v>
      </c>
      <c r="AH160" s="236">
        <v>-45000</v>
      </c>
      <c r="AI160" s="237">
        <v>0</v>
      </c>
    </row>
    <row r="161" spans="12:35" x14ac:dyDescent="0.25">
      <c r="L161" s="250"/>
      <c r="M161" s="250"/>
      <c r="N161" s="250"/>
      <c r="O161" s="250"/>
      <c r="P161" s="250"/>
      <c r="Q161" s="250" t="s">
        <v>192</v>
      </c>
      <c r="R161" s="250"/>
      <c r="S161" s="236">
        <v>1641.34</v>
      </c>
      <c r="T161" s="236">
        <v>6500</v>
      </c>
      <c r="U161" s="236">
        <v>-4858.66</v>
      </c>
      <c r="V161" s="237">
        <v>0.25251000000000001</v>
      </c>
      <c r="Y161" s="250"/>
      <c r="Z161" s="250"/>
      <c r="AA161" s="250"/>
      <c r="AB161" s="250"/>
      <c r="AC161" s="250"/>
      <c r="AD161" s="250" t="s">
        <v>192</v>
      </c>
      <c r="AE161" s="250"/>
      <c r="AF161" s="236">
        <v>1641.34</v>
      </c>
      <c r="AG161" s="236">
        <v>6500</v>
      </c>
      <c r="AH161" s="236">
        <v>-4858.66</v>
      </c>
      <c r="AI161" s="237">
        <v>0.25251000000000001</v>
      </c>
    </row>
    <row r="163" spans="12:35" x14ac:dyDescent="0.25">
      <c r="L163" s="250"/>
      <c r="M163" s="250"/>
      <c r="N163" s="250"/>
      <c r="O163" s="250"/>
      <c r="P163" s="250"/>
      <c r="Q163" s="250" t="s">
        <v>193</v>
      </c>
      <c r="R163" s="250"/>
      <c r="S163" s="236">
        <v>44.67</v>
      </c>
      <c r="T163" s="236">
        <v>5000</v>
      </c>
      <c r="U163" s="236">
        <v>-4955.33</v>
      </c>
      <c r="V163" s="237">
        <v>8.9300000000000004E-3</v>
      </c>
      <c r="Y163" s="250"/>
      <c r="Z163" s="250"/>
      <c r="AA163" s="250"/>
      <c r="AB163" s="250"/>
      <c r="AC163" s="250"/>
      <c r="AD163" s="250" t="s">
        <v>193</v>
      </c>
      <c r="AE163" s="250"/>
      <c r="AF163" s="236">
        <v>44.67</v>
      </c>
      <c r="AG163" s="236">
        <v>5000</v>
      </c>
      <c r="AH163" s="236">
        <v>-4955.33</v>
      </c>
      <c r="AI163" s="237">
        <v>8.9300000000000004E-3</v>
      </c>
    </row>
    <row r="164" spans="12:35" x14ac:dyDescent="0.25">
      <c r="M164" s="250"/>
      <c r="N164" s="250"/>
      <c r="O164" s="250"/>
      <c r="P164" s="250"/>
      <c r="Q164" s="250" t="s">
        <v>194</v>
      </c>
      <c r="R164" s="250"/>
      <c r="S164" s="236">
        <v>103.05</v>
      </c>
      <c r="T164" s="236">
        <v>1499.99</v>
      </c>
      <c r="U164" s="236">
        <v>-1396.94</v>
      </c>
      <c r="V164" s="237">
        <v>6.8699999999999997E-2</v>
      </c>
      <c r="Z164" s="250"/>
      <c r="AA164" s="250"/>
      <c r="AB164" s="250"/>
      <c r="AC164" s="250"/>
      <c r="AD164" s="250" t="s">
        <v>194</v>
      </c>
      <c r="AE164" s="250"/>
      <c r="AF164" s="236">
        <v>103.05</v>
      </c>
      <c r="AG164" s="236">
        <v>1499.99</v>
      </c>
      <c r="AH164" s="236">
        <v>-1396.94</v>
      </c>
      <c r="AI164" s="237">
        <v>6.8699999999999997E-2</v>
      </c>
    </row>
    <row r="170" spans="12:35" ht="15.75" thickBot="1" x14ac:dyDescent="0.3">
      <c r="M170" s="250"/>
      <c r="N170" s="250"/>
      <c r="O170" s="250"/>
      <c r="P170" s="250"/>
      <c r="Q170" s="250" t="s">
        <v>195</v>
      </c>
      <c r="R170" s="250"/>
      <c r="S170" s="238">
        <v>-359.34</v>
      </c>
      <c r="T170" s="238"/>
      <c r="U170" s="238"/>
      <c r="V170" s="239"/>
      <c r="Z170" s="250"/>
      <c r="AA170" s="250"/>
      <c r="AB170" s="250"/>
      <c r="AC170" s="250"/>
      <c r="AD170" s="250" t="s">
        <v>195</v>
      </c>
      <c r="AE170" s="250"/>
      <c r="AF170" s="238">
        <v>-359.34</v>
      </c>
      <c r="AG170" s="238"/>
      <c r="AH170" s="238"/>
      <c r="AI170" s="239"/>
    </row>
    <row r="171" spans="12:35" x14ac:dyDescent="0.25">
      <c r="L171" s="250"/>
      <c r="M171" s="250"/>
      <c r="N171" s="250"/>
      <c r="O171" s="250"/>
      <c r="P171" s="250" t="s">
        <v>196</v>
      </c>
      <c r="Q171" s="250"/>
      <c r="R171" s="250"/>
      <c r="S171" s="236">
        <v>1924.72</v>
      </c>
      <c r="T171" s="236">
        <v>85999.99</v>
      </c>
      <c r="U171" s="236">
        <v>-84075.27</v>
      </c>
      <c r="V171" s="237">
        <v>2.2380000000000001E-2</v>
      </c>
      <c r="Y171" s="250"/>
      <c r="Z171" s="250"/>
      <c r="AA171" s="250"/>
      <c r="AB171" s="250"/>
      <c r="AC171" s="250" t="s">
        <v>196</v>
      </c>
      <c r="AD171" s="250"/>
      <c r="AE171" s="250"/>
      <c r="AF171" s="236">
        <v>1924.72</v>
      </c>
      <c r="AG171" s="236">
        <v>85999.99</v>
      </c>
      <c r="AH171" s="236">
        <v>-84075.27</v>
      </c>
      <c r="AI171" s="237">
        <v>2.2380000000000001E-2</v>
      </c>
    </row>
    <row r="180" spans="12:35" x14ac:dyDescent="0.25">
      <c r="L180" s="250"/>
      <c r="M180" s="250"/>
      <c r="N180" s="250"/>
      <c r="O180" s="250"/>
      <c r="P180" s="250" t="s">
        <v>197</v>
      </c>
      <c r="Q180" s="250"/>
      <c r="R180" s="250"/>
      <c r="S180" s="236">
        <v>516.59</v>
      </c>
      <c r="T180" s="236">
        <v>4000</v>
      </c>
      <c r="U180" s="236">
        <v>-3483.41</v>
      </c>
      <c r="V180" s="237">
        <v>0.12914999999999999</v>
      </c>
      <c r="Y180" s="250"/>
      <c r="Z180" s="250"/>
      <c r="AA180" s="250"/>
      <c r="AB180" s="250"/>
      <c r="AC180" s="250" t="s">
        <v>197</v>
      </c>
      <c r="AD180" s="250"/>
      <c r="AE180" s="250"/>
      <c r="AF180" s="236">
        <v>516.59</v>
      </c>
      <c r="AG180" s="236">
        <v>4000</v>
      </c>
      <c r="AH180" s="236">
        <v>-3483.41</v>
      </c>
      <c r="AI180" s="237">
        <v>0.12914999999999999</v>
      </c>
    </row>
    <row r="182" spans="12:35" ht="15.75" thickBot="1" x14ac:dyDescent="0.3">
      <c r="L182" s="250"/>
      <c r="M182" s="250"/>
      <c r="N182" s="250"/>
      <c r="O182" s="250"/>
      <c r="P182" s="250" t="s">
        <v>198</v>
      </c>
      <c r="Q182" s="250"/>
      <c r="R182" s="250"/>
      <c r="S182" s="238">
        <v>1363.4</v>
      </c>
      <c r="T182" s="238"/>
      <c r="U182" s="238"/>
      <c r="V182" s="239"/>
      <c r="Y182" s="250"/>
      <c r="Z182" s="250"/>
      <c r="AA182" s="250"/>
      <c r="AB182" s="250"/>
      <c r="AC182" s="250" t="s">
        <v>198</v>
      </c>
      <c r="AD182" s="250"/>
      <c r="AE182" s="250"/>
      <c r="AF182" s="238">
        <v>1363.4</v>
      </c>
      <c r="AG182" s="238"/>
      <c r="AH182" s="238"/>
      <c r="AI182" s="239"/>
    </row>
    <row r="183" spans="12:35" x14ac:dyDescent="0.25">
      <c r="L183" s="250"/>
      <c r="M183" s="250"/>
      <c r="N183" s="250"/>
      <c r="O183" s="250" t="s">
        <v>199</v>
      </c>
      <c r="P183" s="250"/>
      <c r="Q183" s="250"/>
      <c r="R183" s="250"/>
      <c r="S183" s="236">
        <v>48003.83</v>
      </c>
      <c r="T183" s="236">
        <v>159271.47</v>
      </c>
      <c r="U183" s="236">
        <v>-111267.64</v>
      </c>
      <c r="V183" s="237">
        <v>0.3014</v>
      </c>
      <c r="Y183" s="250"/>
      <c r="Z183" s="250"/>
      <c r="AA183" s="250"/>
      <c r="AB183" s="250" t="s">
        <v>199</v>
      </c>
      <c r="AC183" s="250"/>
      <c r="AD183" s="250"/>
      <c r="AE183" s="250"/>
      <c r="AF183" s="236">
        <v>48003.83</v>
      </c>
      <c r="AG183" s="236">
        <v>159271.47</v>
      </c>
      <c r="AH183" s="236">
        <v>-111267.64</v>
      </c>
      <c r="AI183" s="237">
        <v>0.3014</v>
      </c>
    </row>
    <row r="184" spans="12:35" x14ac:dyDescent="0.25">
      <c r="L184" s="250"/>
      <c r="M184" s="250"/>
      <c r="N184" s="250"/>
      <c r="O184" s="250" t="s">
        <v>200</v>
      </c>
      <c r="P184" s="250"/>
      <c r="Q184" s="250"/>
      <c r="R184" s="250"/>
      <c r="S184" s="236">
        <v>152253</v>
      </c>
      <c r="T184" s="236">
        <v>152361</v>
      </c>
      <c r="U184" s="236">
        <v>-108</v>
      </c>
      <c r="V184" s="237">
        <v>0.99929000000000001</v>
      </c>
      <c r="Y184" s="250"/>
      <c r="Z184" s="250"/>
      <c r="AA184" s="250"/>
      <c r="AB184" s="250" t="s">
        <v>200</v>
      </c>
      <c r="AC184" s="250"/>
      <c r="AD184" s="250"/>
      <c r="AE184" s="250"/>
      <c r="AF184" s="236">
        <v>152253</v>
      </c>
      <c r="AG184" s="236">
        <v>152361</v>
      </c>
      <c r="AH184" s="236">
        <v>-108</v>
      </c>
      <c r="AI184" s="237">
        <v>0.99929000000000001</v>
      </c>
    </row>
    <row r="185" spans="12:35" x14ac:dyDescent="0.25">
      <c r="L185" s="250"/>
      <c r="M185" s="250"/>
      <c r="N185" s="250"/>
      <c r="O185" s="250" t="s">
        <v>201</v>
      </c>
      <c r="P185" s="250"/>
      <c r="Q185" s="250"/>
      <c r="R185" s="250"/>
      <c r="S185" s="236">
        <v>0</v>
      </c>
      <c r="T185" s="236">
        <v>0</v>
      </c>
      <c r="U185" s="236">
        <v>0</v>
      </c>
      <c r="V185" s="237">
        <v>0</v>
      </c>
      <c r="Y185" s="250"/>
      <c r="Z185" s="250"/>
      <c r="AA185" s="250"/>
      <c r="AB185" s="250" t="s">
        <v>201</v>
      </c>
      <c r="AC185" s="250"/>
      <c r="AD185" s="250"/>
      <c r="AE185" s="250"/>
      <c r="AF185" s="236">
        <v>0</v>
      </c>
      <c r="AG185" s="236">
        <v>0</v>
      </c>
      <c r="AH185" s="236">
        <v>0</v>
      </c>
      <c r="AI185" s="237">
        <v>0</v>
      </c>
    </row>
    <row r="186" spans="12:35" ht="15.75" thickBot="1" x14ac:dyDescent="0.3">
      <c r="L186" s="250"/>
      <c r="Y186" s="250"/>
    </row>
    <row r="187" spans="12:35" ht="15.75" thickBot="1" x14ac:dyDescent="0.3">
      <c r="L187" s="250"/>
      <c r="M187" s="250"/>
      <c r="N187" s="250" t="s">
        <v>81</v>
      </c>
      <c r="O187" s="250"/>
      <c r="P187" s="250"/>
      <c r="Q187" s="250"/>
      <c r="R187" s="250"/>
      <c r="S187" s="242">
        <v>372561.48</v>
      </c>
      <c r="T187" s="242">
        <v>499652.01</v>
      </c>
      <c r="U187" s="242">
        <v>-127090.53</v>
      </c>
      <c r="V187" s="243">
        <v>0.74563999999999997</v>
      </c>
      <c r="Y187" s="250"/>
      <c r="Z187" s="250"/>
      <c r="AA187" s="250" t="s">
        <v>81</v>
      </c>
      <c r="AB187" s="250"/>
      <c r="AC187" s="250"/>
      <c r="AD187" s="250"/>
      <c r="AE187" s="250"/>
      <c r="AF187" s="242">
        <v>372561.48</v>
      </c>
      <c r="AG187" s="242">
        <v>499652.01</v>
      </c>
      <c r="AH187" s="242">
        <v>-127090.53</v>
      </c>
      <c r="AI187" s="243">
        <v>0.74563999999999997</v>
      </c>
    </row>
    <row r="188" spans="12:35" x14ac:dyDescent="0.25">
      <c r="L188" s="250" t="s">
        <v>202</v>
      </c>
      <c r="M188" s="250"/>
      <c r="N188" s="250"/>
      <c r="O188" s="250"/>
      <c r="P188" s="250"/>
      <c r="Q188" s="250"/>
      <c r="R188" s="250"/>
      <c r="S188" s="236">
        <v>127305.84</v>
      </c>
      <c r="T188" s="236">
        <v>26021.85</v>
      </c>
      <c r="U188" s="236">
        <v>101283.99</v>
      </c>
      <c r="V188" s="237">
        <v>4.8922699999999999</v>
      </c>
      <c r="Y188" s="250" t="s">
        <v>202</v>
      </c>
      <c r="Z188" s="250"/>
      <c r="AA188" s="250"/>
      <c r="AB188" s="250"/>
      <c r="AC188" s="250"/>
      <c r="AD188" s="250"/>
      <c r="AE188" s="250"/>
      <c r="AF188" s="236">
        <v>127305.84</v>
      </c>
      <c r="AG188" s="236">
        <v>26021.85</v>
      </c>
      <c r="AH188" s="236">
        <v>101283.99</v>
      </c>
      <c r="AI188" s="237">
        <v>4.8922699999999999</v>
      </c>
    </row>
    <row r="189" spans="12:35" x14ac:dyDescent="0.25">
      <c r="L189" s="250" t="s">
        <v>203</v>
      </c>
      <c r="Y189" s="250" t="s">
        <v>203</v>
      </c>
    </row>
    <row r="190" spans="12:35" x14ac:dyDescent="0.25">
      <c r="L190" s="250"/>
      <c r="M190" s="250" t="s">
        <v>61</v>
      </c>
      <c r="N190" s="250"/>
      <c r="O190" s="250"/>
      <c r="P190" s="250"/>
      <c r="Q190" s="250"/>
      <c r="R190" s="250"/>
      <c r="S190" s="236"/>
      <c r="T190" s="236"/>
      <c r="U190" s="236"/>
      <c r="V190" s="237"/>
      <c r="Y190" s="250"/>
      <c r="Z190" s="250" t="s">
        <v>61</v>
      </c>
      <c r="AA190" s="250"/>
      <c r="AB190" s="250"/>
      <c r="AC190" s="250"/>
      <c r="AD190" s="250"/>
      <c r="AE190" s="250"/>
      <c r="AF190" s="236"/>
      <c r="AG190" s="236"/>
      <c r="AH190" s="236"/>
      <c r="AI190" s="237"/>
    </row>
    <row r="191" spans="12:35" x14ac:dyDescent="0.25">
      <c r="L191" s="250"/>
      <c r="M191" s="250"/>
      <c r="N191" s="250" t="s">
        <v>204</v>
      </c>
      <c r="O191" s="250"/>
      <c r="P191" s="250"/>
      <c r="Q191" s="250"/>
      <c r="R191" s="250"/>
      <c r="S191" s="236"/>
      <c r="T191" s="236"/>
      <c r="U191" s="236"/>
      <c r="V191" s="237"/>
      <c r="Y191" s="250"/>
      <c r="Z191" s="250"/>
      <c r="AA191" s="250" t="s">
        <v>204</v>
      </c>
      <c r="AB191" s="250"/>
      <c r="AC191" s="250"/>
      <c r="AD191" s="250"/>
      <c r="AE191" s="250"/>
      <c r="AF191" s="236"/>
      <c r="AG191" s="236"/>
      <c r="AH191" s="236"/>
      <c r="AI191" s="237"/>
    </row>
    <row r="193" spans="12:35" x14ac:dyDescent="0.25">
      <c r="L193" s="250"/>
      <c r="M193" s="250"/>
      <c r="N193" s="250"/>
      <c r="O193" s="250" t="s">
        <v>205</v>
      </c>
      <c r="P193" s="250"/>
      <c r="Q193" s="250"/>
      <c r="R193" s="250"/>
      <c r="S193" s="236">
        <v>35508</v>
      </c>
      <c r="T193" s="236">
        <v>144517.5</v>
      </c>
      <c r="U193" s="236">
        <v>-109009.5</v>
      </c>
      <c r="V193" s="237">
        <v>0.2457</v>
      </c>
      <c r="Y193" s="250"/>
      <c r="Z193" s="250"/>
      <c r="AA193" s="250"/>
      <c r="AB193" s="250" t="s">
        <v>205</v>
      </c>
      <c r="AC193" s="250"/>
      <c r="AD193" s="250"/>
      <c r="AE193" s="250"/>
      <c r="AF193" s="236">
        <v>35508</v>
      </c>
      <c r="AG193" s="236">
        <v>144517.5</v>
      </c>
      <c r="AH193" s="236">
        <v>-109009.5</v>
      </c>
      <c r="AI193" s="237">
        <v>0.2457</v>
      </c>
    </row>
    <row r="194" spans="12:35" x14ac:dyDescent="0.25">
      <c r="L194" s="250"/>
      <c r="M194" s="250"/>
      <c r="N194" s="250"/>
      <c r="O194" s="250" t="s">
        <v>206</v>
      </c>
      <c r="P194" s="250"/>
      <c r="Q194" s="250"/>
      <c r="R194" s="250"/>
      <c r="S194" s="236">
        <v>53.28</v>
      </c>
      <c r="T194" s="236">
        <v>87.75</v>
      </c>
      <c r="U194" s="236">
        <v>-34.47</v>
      </c>
      <c r="V194" s="237">
        <v>0.60718000000000005</v>
      </c>
      <c r="Y194" s="250"/>
      <c r="Z194" s="250"/>
      <c r="AA194" s="250"/>
      <c r="AB194" s="250" t="s">
        <v>206</v>
      </c>
      <c r="AC194" s="250"/>
      <c r="AD194" s="250"/>
      <c r="AE194" s="250"/>
      <c r="AF194" s="236">
        <v>53.28</v>
      </c>
      <c r="AG194" s="236">
        <v>87.75</v>
      </c>
      <c r="AH194" s="236">
        <v>-34.47</v>
      </c>
      <c r="AI194" s="237">
        <v>0.60718000000000005</v>
      </c>
    </row>
    <row r="195" spans="12:35" x14ac:dyDescent="0.25">
      <c r="L195" s="250"/>
      <c r="M195" s="250"/>
      <c r="N195" s="250"/>
      <c r="O195" s="250" t="s">
        <v>207</v>
      </c>
      <c r="P195" s="250"/>
      <c r="Q195" s="250"/>
      <c r="R195" s="250"/>
      <c r="S195" s="236">
        <v>302.43</v>
      </c>
      <c r="T195" s="236">
        <v>2.39</v>
      </c>
      <c r="U195" s="236">
        <v>300.04000000000002</v>
      </c>
      <c r="V195" s="237">
        <v>126.53975</v>
      </c>
      <c r="Y195" s="250"/>
      <c r="Z195" s="250"/>
      <c r="AA195" s="250"/>
      <c r="AB195" s="250" t="s">
        <v>207</v>
      </c>
      <c r="AC195" s="250"/>
      <c r="AD195" s="250"/>
      <c r="AE195" s="250"/>
      <c r="AF195" s="236">
        <v>302.43</v>
      </c>
      <c r="AG195" s="236">
        <v>2.39</v>
      </c>
      <c r="AH195" s="236">
        <v>300.04000000000002</v>
      </c>
      <c r="AI195" s="237">
        <v>126.53975</v>
      </c>
    </row>
    <row r="196" spans="12:35" x14ac:dyDescent="0.25">
      <c r="L196" s="250"/>
      <c r="M196" s="250"/>
      <c r="N196" s="250"/>
      <c r="O196" s="250" t="s">
        <v>208</v>
      </c>
      <c r="P196" s="250"/>
      <c r="Q196" s="250"/>
      <c r="R196" s="250"/>
      <c r="S196" s="236">
        <v>1341.51</v>
      </c>
      <c r="T196" s="236">
        <v>1366.78</v>
      </c>
      <c r="U196" s="236">
        <v>-25.27</v>
      </c>
      <c r="V196" s="237">
        <v>0.98150999999999999</v>
      </c>
      <c r="Y196" s="250"/>
      <c r="Z196" s="250"/>
      <c r="AA196" s="250"/>
      <c r="AB196" s="250" t="s">
        <v>208</v>
      </c>
      <c r="AC196" s="250"/>
      <c r="AD196" s="250"/>
      <c r="AE196" s="250"/>
      <c r="AF196" s="236">
        <v>1341.51</v>
      </c>
      <c r="AG196" s="236">
        <v>1366.78</v>
      </c>
      <c r="AH196" s="236">
        <v>-25.27</v>
      </c>
      <c r="AI196" s="237">
        <v>0.98150999999999999</v>
      </c>
    </row>
    <row r="197" spans="12:35" ht="15.75" thickBot="1" x14ac:dyDescent="0.3"/>
    <row r="198" spans="12:35" ht="15.75" thickBot="1" x14ac:dyDescent="0.3">
      <c r="L198" s="250" t="s">
        <v>218</v>
      </c>
      <c r="M198" s="250"/>
      <c r="N198" s="250" t="s">
        <v>209</v>
      </c>
      <c r="O198" s="250"/>
      <c r="P198" s="250"/>
      <c r="Q198" s="250"/>
      <c r="R198" s="250"/>
      <c r="S198" s="242">
        <v>37205.22</v>
      </c>
      <c r="T198" s="242">
        <v>145974.42000000001</v>
      </c>
      <c r="U198" s="242">
        <v>-108769.2</v>
      </c>
      <c r="V198" s="243">
        <v>0.25486999999999999</v>
      </c>
      <c r="Y198" s="250" t="s">
        <v>218</v>
      </c>
      <c r="Z198" s="250"/>
      <c r="AA198" s="250" t="s">
        <v>209</v>
      </c>
      <c r="AB198" s="250"/>
      <c r="AC198" s="250"/>
      <c r="AD198" s="250"/>
      <c r="AE198" s="250"/>
      <c r="AF198" s="242">
        <v>37205.22</v>
      </c>
      <c r="AG198" s="242">
        <v>145974.42000000001</v>
      </c>
      <c r="AH198" s="242">
        <v>-108769.2</v>
      </c>
      <c r="AI198" s="243">
        <v>0.25486999999999999</v>
      </c>
    </row>
    <row r="199" spans="12:35" x14ac:dyDescent="0.25">
      <c r="L199" s="250"/>
      <c r="M199" s="250" t="s">
        <v>210</v>
      </c>
      <c r="N199" s="250"/>
      <c r="O199" s="250"/>
      <c r="P199" s="250"/>
      <c r="Q199" s="250"/>
      <c r="R199" s="250"/>
      <c r="S199" s="236">
        <v>37205.22</v>
      </c>
      <c r="T199" s="236">
        <v>145974.42000000001</v>
      </c>
      <c r="U199" s="236">
        <v>-108769.2</v>
      </c>
      <c r="V199" s="237">
        <v>0.25486999999999999</v>
      </c>
      <c r="Y199" s="250"/>
      <c r="Z199" s="250" t="s">
        <v>210</v>
      </c>
      <c r="AA199" s="250"/>
      <c r="AB199" s="250"/>
      <c r="AC199" s="250"/>
      <c r="AD199" s="250"/>
      <c r="AE199" s="250"/>
      <c r="AF199" s="236">
        <v>37205.22</v>
      </c>
      <c r="AG199" s="236">
        <v>145974.42000000001</v>
      </c>
      <c r="AH199" s="236">
        <v>-108769.2</v>
      </c>
      <c r="AI199" s="237">
        <v>0.25486999999999999</v>
      </c>
    </row>
    <row r="201" spans="12:35" x14ac:dyDescent="0.25">
      <c r="M201" s="250" t="s">
        <v>211</v>
      </c>
      <c r="N201" s="250"/>
      <c r="O201" s="250"/>
      <c r="P201" s="250"/>
      <c r="Q201" s="250"/>
      <c r="R201" s="250"/>
      <c r="S201" s="236"/>
      <c r="T201" s="236"/>
      <c r="U201" s="236"/>
      <c r="V201" s="237"/>
      <c r="Z201" s="250" t="s">
        <v>211</v>
      </c>
      <c r="AA201" s="250"/>
      <c r="AB201" s="250"/>
      <c r="AC201" s="250"/>
      <c r="AD201" s="250"/>
      <c r="AE201" s="250"/>
      <c r="AF201" s="236"/>
      <c r="AG201" s="236"/>
      <c r="AH201" s="236"/>
      <c r="AI201" s="237"/>
    </row>
    <row r="206" spans="12:35" x14ac:dyDescent="0.25">
      <c r="M206" s="250"/>
      <c r="N206" s="250" t="s">
        <v>212</v>
      </c>
      <c r="O206" s="250"/>
      <c r="P206" s="250"/>
      <c r="Q206" s="250"/>
      <c r="R206" s="250"/>
      <c r="S206" s="236"/>
      <c r="T206" s="236"/>
      <c r="U206" s="236"/>
      <c r="V206" s="237"/>
      <c r="Z206" s="250"/>
      <c r="AA206" s="250" t="s">
        <v>212</v>
      </c>
      <c r="AB206" s="250"/>
      <c r="AC206" s="250"/>
      <c r="AD206" s="250"/>
      <c r="AE206" s="250"/>
      <c r="AF206" s="236"/>
      <c r="AG206" s="236"/>
      <c r="AH206" s="236"/>
      <c r="AI206" s="237"/>
    </row>
    <row r="207" spans="12:35" x14ac:dyDescent="0.25">
      <c r="M207" s="250"/>
      <c r="N207" s="250"/>
      <c r="O207" s="250" t="s">
        <v>213</v>
      </c>
      <c r="P207" s="250"/>
      <c r="Q207" s="250"/>
      <c r="R207" s="250"/>
      <c r="S207" s="236">
        <v>0</v>
      </c>
      <c r="T207" s="236">
        <v>187501</v>
      </c>
      <c r="U207" s="236">
        <v>-187501</v>
      </c>
      <c r="V207" s="237">
        <v>0</v>
      </c>
      <c r="Z207" s="250"/>
      <c r="AA207" s="250"/>
      <c r="AB207" s="250" t="s">
        <v>213</v>
      </c>
      <c r="AC207" s="250"/>
      <c r="AD207" s="250"/>
      <c r="AE207" s="250"/>
      <c r="AF207" s="236">
        <v>0</v>
      </c>
      <c r="AG207" s="236">
        <v>187501</v>
      </c>
      <c r="AH207" s="236">
        <v>-187501</v>
      </c>
      <c r="AI207" s="237">
        <v>0</v>
      </c>
    </row>
    <row r="208" spans="12:35" x14ac:dyDescent="0.25">
      <c r="M208" s="250"/>
      <c r="N208" s="250"/>
      <c r="O208" s="250" t="s">
        <v>214</v>
      </c>
      <c r="P208" s="250"/>
      <c r="Q208" s="250"/>
      <c r="R208" s="250"/>
      <c r="S208" s="236">
        <v>130958.75</v>
      </c>
      <c r="T208" s="236">
        <v>149999</v>
      </c>
      <c r="U208" s="236">
        <v>-19040.25</v>
      </c>
      <c r="V208" s="237">
        <v>0.87305999999999995</v>
      </c>
      <c r="Z208" s="250"/>
      <c r="AA208" s="250"/>
      <c r="AB208" s="250" t="s">
        <v>214</v>
      </c>
      <c r="AC208" s="250"/>
      <c r="AD208" s="250"/>
      <c r="AE208" s="250"/>
      <c r="AF208" s="236">
        <v>130958.75</v>
      </c>
      <c r="AG208" s="236">
        <v>149999</v>
      </c>
      <c r="AH208" s="236">
        <v>-19040.25</v>
      </c>
      <c r="AI208" s="237">
        <v>0.87305999999999995</v>
      </c>
    </row>
    <row r="209" spans="13:35" x14ac:dyDescent="0.25">
      <c r="M209" s="250"/>
      <c r="N209" s="250"/>
      <c r="O209" s="250" t="s">
        <v>215</v>
      </c>
      <c r="P209" s="250"/>
      <c r="Q209" s="250"/>
      <c r="R209" s="250"/>
      <c r="S209" s="236">
        <v>25</v>
      </c>
      <c r="T209" s="236"/>
      <c r="U209" s="236"/>
      <c r="V209" s="237"/>
      <c r="Z209" s="250"/>
      <c r="AA209" s="250"/>
      <c r="AB209" s="250" t="s">
        <v>215</v>
      </c>
      <c r="AC209" s="250"/>
      <c r="AD209" s="250"/>
      <c r="AE209" s="250"/>
      <c r="AF209" s="236">
        <v>25</v>
      </c>
      <c r="AG209" s="236"/>
      <c r="AH209" s="236"/>
      <c r="AI209" s="237"/>
    </row>
    <row r="212" spans="13:35" ht="15.75" thickBot="1" x14ac:dyDescent="0.3"/>
    <row r="213" spans="13:35" x14ac:dyDescent="0.25">
      <c r="M213" s="250"/>
      <c r="N213" s="250" t="s">
        <v>216</v>
      </c>
      <c r="O213" s="250"/>
      <c r="P213" s="250"/>
      <c r="Q213" s="250"/>
      <c r="R213" s="250"/>
      <c r="S213" s="240">
        <v>130983.75</v>
      </c>
      <c r="T213" s="240">
        <v>337500</v>
      </c>
      <c r="U213" s="240">
        <v>-206516.25</v>
      </c>
      <c r="V213" s="241">
        <v>0.3881</v>
      </c>
      <c r="Z213" s="250"/>
      <c r="AA213" s="250" t="s">
        <v>216</v>
      </c>
      <c r="AB213" s="250"/>
      <c r="AC213" s="250"/>
      <c r="AD213" s="250"/>
      <c r="AE213" s="250"/>
      <c r="AF213" s="240">
        <v>130983.75</v>
      </c>
      <c r="AG213" s="240">
        <v>337500</v>
      </c>
      <c r="AH213" s="240">
        <v>-206516.25</v>
      </c>
      <c r="AI213" s="241">
        <v>0.3881</v>
      </c>
    </row>
    <row r="215" spans="13:35" ht="15.75" thickBot="1" x14ac:dyDescent="0.3"/>
    <row r="216" spans="13:35" ht="15.75" thickBot="1" x14ac:dyDescent="0.3">
      <c r="M216" s="250" t="s">
        <v>217</v>
      </c>
      <c r="N216" s="250"/>
      <c r="O216" s="250"/>
      <c r="P216" s="250"/>
      <c r="Q216" s="250"/>
      <c r="R216" s="250"/>
      <c r="S216" s="240">
        <v>130983.75</v>
      </c>
      <c r="T216" s="240">
        <v>337500</v>
      </c>
      <c r="U216" s="240">
        <v>-206516.25</v>
      </c>
      <c r="V216" s="241">
        <v>0.3881</v>
      </c>
      <c r="Z216" s="250" t="s">
        <v>217</v>
      </c>
      <c r="AA216" s="250"/>
      <c r="AB216" s="250"/>
      <c r="AC216" s="250"/>
      <c r="AD216" s="250"/>
      <c r="AE216" s="250"/>
      <c r="AF216" s="240">
        <v>130983.75</v>
      </c>
      <c r="AG216" s="240">
        <v>337500</v>
      </c>
      <c r="AH216" s="240">
        <v>-206516.25</v>
      </c>
      <c r="AI216" s="241">
        <v>0.3881</v>
      </c>
    </row>
    <row r="217" spans="13:35" ht="15.75" thickBot="1" x14ac:dyDescent="0.3">
      <c r="M217" s="250"/>
      <c r="N217" s="250"/>
      <c r="O217" s="250"/>
      <c r="P217" s="250"/>
      <c r="Q217" s="250"/>
      <c r="R217" s="250"/>
      <c r="S217" s="240">
        <v>-93778.53</v>
      </c>
      <c r="T217" s="240">
        <v>-191525.58</v>
      </c>
      <c r="U217" s="240">
        <v>97747.05</v>
      </c>
      <c r="V217" s="241">
        <v>0.48964000000000002</v>
      </c>
      <c r="Z217" s="250"/>
      <c r="AA217" s="250"/>
      <c r="AB217" s="250"/>
      <c r="AC217" s="250"/>
      <c r="AD217" s="250"/>
      <c r="AE217" s="250"/>
      <c r="AF217" s="240">
        <v>-93778.53</v>
      </c>
      <c r="AG217" s="240">
        <v>-191525.58</v>
      </c>
      <c r="AH217" s="240">
        <v>97747.05</v>
      </c>
      <c r="AI217" s="241">
        <v>0.48964000000000002</v>
      </c>
    </row>
    <row r="218" spans="13:35" ht="15.75" thickBot="1" x14ac:dyDescent="0.3">
      <c r="M218" s="250"/>
      <c r="N218" s="250"/>
      <c r="O218" s="250"/>
      <c r="P218" s="250"/>
      <c r="Q218" s="250"/>
      <c r="R218" s="250"/>
      <c r="S218" s="244">
        <v>33527.31</v>
      </c>
      <c r="T218" s="244">
        <v>-165503.73000000001</v>
      </c>
      <c r="U218" s="244">
        <v>199031.04000000001</v>
      </c>
      <c r="V218" s="245">
        <v>-0.20258000000000001</v>
      </c>
      <c r="Z218" s="250"/>
      <c r="AA218" s="250"/>
      <c r="AB218" s="250"/>
      <c r="AC218" s="250"/>
      <c r="AD218" s="250"/>
      <c r="AE218" s="250"/>
      <c r="AF218" s="244">
        <v>33527.31</v>
      </c>
      <c r="AG218" s="244">
        <v>-165503.73000000001</v>
      </c>
      <c r="AH218" s="244">
        <v>199031.04000000001</v>
      </c>
      <c r="AI218" s="245">
        <v>-0.20258000000000001</v>
      </c>
    </row>
    <row r="219" spans="13:35" ht="15.75" thickTop="1" x14ac:dyDescent="0.25"/>
  </sheetData>
  <mergeCells count="4">
    <mergeCell ref="A1:H1"/>
    <mergeCell ref="A2:H2"/>
    <mergeCell ref="A3:H3"/>
    <mergeCell ref="A4:H4"/>
  </mergeCells>
  <pageMargins left="0.4" right="0.2" top="0.6" bottom="0.5" header="0.3" footer="0.3"/>
  <pageSetup paperSize="5" scale="7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2025 General</vt:lpstr>
      <vt:lpstr>2025 Construction</vt:lpstr>
      <vt:lpstr>2022 regular</vt:lpstr>
      <vt:lpstr>2022 construction</vt:lpstr>
      <vt:lpstr>Amendment 2024</vt:lpstr>
      <vt:lpstr>Income Statement</vt:lpstr>
      <vt:lpstr>Budget Comparison Bond</vt:lpstr>
      <vt:lpstr>2022 draft old</vt:lpstr>
      <vt:lpstr>TRY --2021 AMENDED</vt:lpstr>
      <vt:lpstr>Monthly Rate Breakdown</vt:lpstr>
      <vt:lpstr>'2022 construction'!Print_Area</vt:lpstr>
      <vt:lpstr>'2022 draft old'!Print_Area</vt:lpstr>
      <vt:lpstr>'2022 regular'!Print_Area</vt:lpstr>
      <vt:lpstr>'2025 Construction'!Print_Area</vt:lpstr>
      <vt:lpstr>'2025 General'!Print_Area</vt:lpstr>
      <vt:lpstr>'Amendment 2024'!Print_Area</vt:lpstr>
      <vt:lpstr>'Monthly Rate Breakdown'!Print_Area</vt:lpstr>
      <vt:lpstr>'TRY --2021 AMENDED'!Print_Area</vt:lpstr>
      <vt:lpstr>'Budget Comparison Bond'!Print_Titles</vt:lpstr>
      <vt:lpstr>'Income Statement'!Print_Titles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Baldwin</dc:creator>
  <cp:lastModifiedBy>Jeremy Sorensen</cp:lastModifiedBy>
  <cp:lastPrinted>2023-11-07T17:27:39Z</cp:lastPrinted>
  <dcterms:created xsi:type="dcterms:W3CDTF">2006-10-27T12:13:37Z</dcterms:created>
  <dcterms:modified xsi:type="dcterms:W3CDTF">2024-12-02T21:10:54Z</dcterms:modified>
</cp:coreProperties>
</file>