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28"/>
  <workbookPr codeName="ThisWorkbook" autoCompressPictures="0"/>
  <mc:AlternateContent xmlns:mc="http://schemas.openxmlformats.org/markup-compatibility/2006">
    <mc:Choice Requires="x15">
      <x15ac:absPath xmlns:x15ac="http://schemas.microsoft.com/office/spreadsheetml/2010/11/ac" url="/Users/motel6/Desktop/"/>
    </mc:Choice>
  </mc:AlternateContent>
  <xr:revisionPtr revIDLastSave="0" documentId="8_{CB54E8D1-FBD0-6042-8A9E-D2CFA8A31BE2}" xr6:coauthVersionLast="47" xr6:coauthVersionMax="47" xr10:uidLastSave="{00000000-0000-0000-0000-000000000000}"/>
  <bookViews>
    <workbookView xWindow="7060" yWindow="780" windowWidth="27140" windowHeight="15400" tabRatio="761" xr2:uid="{00000000-000D-0000-FFFF-FFFF00000000}"/>
  </bookViews>
  <sheets>
    <sheet name="Budget Worksheet" sheetId="12" r:id="rId1"/>
    <sheet name="Rate Calculator" sheetId="13" r:id="rId2"/>
    <sheet name="Fee Schedule" sheetId="14" r:id="rId3"/>
    <sheet name="Connection Fees" sheetId="15" state="hidden" r:id="rId4"/>
    <sheet name="ReserveFund" sheetId="11" r:id="rId5"/>
    <sheet name="Sheet2" sheetId="17" state="hidden" r:id="rId6"/>
    <sheet name="Expense Details" sheetId="1" r:id="rId7"/>
    <sheet name="Income Details" sheetId="6" r:id="rId8"/>
  </sheets>
  <definedNames>
    <definedName name="Category">#REF!</definedName>
    <definedName name="IncomeLookupList">#REF!</definedName>
    <definedName name="LineItem">#REF!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17" i="14" l="1"/>
  <c r="J6" i="12"/>
  <c r="F12" i="12"/>
  <c r="G9" i="13"/>
  <c r="G13" i="13"/>
  <c r="H9" i="13"/>
  <c r="F9" i="13"/>
  <c r="E60" i="13"/>
  <c r="E59" i="13"/>
  <c r="E58" i="13"/>
  <c r="E57" i="13"/>
  <c r="E56" i="13"/>
  <c r="E55" i="13"/>
  <c r="E54" i="13"/>
  <c r="E53" i="13"/>
  <c r="E52" i="13"/>
  <c r="E51" i="13"/>
  <c r="E50" i="13"/>
  <c r="E49" i="13"/>
  <c r="E42" i="13"/>
  <c r="E41" i="13"/>
  <c r="E40" i="13"/>
  <c r="E39" i="13"/>
  <c r="E38" i="13"/>
  <c r="E37" i="13"/>
  <c r="E36" i="13"/>
  <c r="E35" i="13"/>
  <c r="E34" i="13"/>
  <c r="E33" i="13"/>
  <c r="E32" i="13"/>
  <c r="E31" i="13"/>
  <c r="E24" i="13"/>
  <c r="E23" i="13"/>
  <c r="E22" i="13"/>
  <c r="E21" i="13"/>
  <c r="E20" i="13"/>
  <c r="E19" i="13"/>
  <c r="E18" i="13"/>
  <c r="E17" i="13"/>
  <c r="E16" i="13"/>
  <c r="E15" i="13"/>
  <c r="E14" i="13"/>
  <c r="E13" i="13"/>
  <c r="F7" i="12"/>
  <c r="F13" i="12"/>
  <c r="E25" i="13"/>
  <c r="E43" i="13"/>
  <c r="E61" i="13"/>
  <c r="E65" i="13"/>
  <c r="F8" i="12"/>
  <c r="F13" i="13"/>
  <c r="H13" i="13"/>
  <c r="I13" i="13"/>
  <c r="F14" i="13"/>
  <c r="G14" i="13"/>
  <c r="H14" i="13"/>
  <c r="I14" i="13"/>
  <c r="F15" i="13"/>
  <c r="G15" i="13"/>
  <c r="H15" i="13"/>
  <c r="I15" i="13"/>
  <c r="F16" i="13"/>
  <c r="B88" i="13"/>
  <c r="G16" i="13"/>
  <c r="H16" i="13"/>
  <c r="I16" i="13"/>
  <c r="F17" i="13"/>
  <c r="G17" i="13"/>
  <c r="H17" i="13"/>
  <c r="I17" i="13"/>
  <c r="F18" i="13"/>
  <c r="G18" i="13"/>
  <c r="H18" i="13"/>
  <c r="I18" i="13"/>
  <c r="F19" i="13"/>
  <c r="G19" i="13"/>
  <c r="H19" i="13"/>
  <c r="I19" i="13"/>
  <c r="F20" i="13"/>
  <c r="G20" i="13"/>
  <c r="H20" i="13"/>
  <c r="I20" i="13"/>
  <c r="F21" i="13"/>
  <c r="G21" i="13"/>
  <c r="H21" i="13"/>
  <c r="I21" i="13"/>
  <c r="F22" i="13"/>
  <c r="G22" i="13"/>
  <c r="H22" i="13"/>
  <c r="I22" i="13"/>
  <c r="F23" i="13"/>
  <c r="G23" i="13"/>
  <c r="H23" i="13"/>
  <c r="I23" i="13"/>
  <c r="F24" i="13"/>
  <c r="G24" i="13"/>
  <c r="H24" i="13"/>
  <c r="I24" i="13"/>
  <c r="I25" i="13"/>
  <c r="F31" i="13"/>
  <c r="G31" i="13"/>
  <c r="H31" i="13"/>
  <c r="I31" i="13"/>
  <c r="F32" i="13"/>
  <c r="G32" i="13"/>
  <c r="H32" i="13"/>
  <c r="I32" i="13"/>
  <c r="F33" i="13"/>
  <c r="G33" i="13"/>
  <c r="H33" i="13"/>
  <c r="I33" i="13"/>
  <c r="F34" i="13"/>
  <c r="G34" i="13"/>
  <c r="H34" i="13"/>
  <c r="I34" i="13"/>
  <c r="F35" i="13"/>
  <c r="G35" i="13"/>
  <c r="H35" i="13"/>
  <c r="I35" i="13"/>
  <c r="F36" i="13"/>
  <c r="G36" i="13"/>
  <c r="H36" i="13"/>
  <c r="I36" i="13"/>
  <c r="F37" i="13"/>
  <c r="G37" i="13"/>
  <c r="H37" i="13"/>
  <c r="I37" i="13"/>
  <c r="F38" i="13"/>
  <c r="G38" i="13"/>
  <c r="H38" i="13"/>
  <c r="I38" i="13"/>
  <c r="F39" i="13"/>
  <c r="G39" i="13"/>
  <c r="H39" i="13"/>
  <c r="I39" i="13"/>
  <c r="F40" i="13"/>
  <c r="G40" i="13"/>
  <c r="H40" i="13"/>
  <c r="I40" i="13"/>
  <c r="F41" i="13"/>
  <c r="G41" i="13"/>
  <c r="H41" i="13"/>
  <c r="I41" i="13"/>
  <c r="F42" i="13"/>
  <c r="G42" i="13"/>
  <c r="H42" i="13"/>
  <c r="I42" i="13"/>
  <c r="I43" i="13"/>
  <c r="F49" i="13"/>
  <c r="G49" i="13"/>
  <c r="H49" i="13"/>
  <c r="I49" i="13"/>
  <c r="F50" i="13"/>
  <c r="G50" i="13"/>
  <c r="H50" i="13"/>
  <c r="I50" i="13"/>
  <c r="F51" i="13"/>
  <c r="G51" i="13"/>
  <c r="H51" i="13"/>
  <c r="I51" i="13"/>
  <c r="F52" i="13"/>
  <c r="G52" i="13"/>
  <c r="H52" i="13"/>
  <c r="I52" i="13"/>
  <c r="F53" i="13"/>
  <c r="G53" i="13"/>
  <c r="H53" i="13"/>
  <c r="I53" i="13"/>
  <c r="F54" i="13"/>
  <c r="G54" i="13"/>
  <c r="H54" i="13"/>
  <c r="I54" i="13"/>
  <c r="F55" i="13"/>
  <c r="G55" i="13"/>
  <c r="H55" i="13"/>
  <c r="I55" i="13"/>
  <c r="F56" i="13"/>
  <c r="G56" i="13"/>
  <c r="H56" i="13"/>
  <c r="I56" i="13"/>
  <c r="F57" i="13"/>
  <c r="G57" i="13"/>
  <c r="H57" i="13"/>
  <c r="I57" i="13"/>
  <c r="F58" i="13"/>
  <c r="G58" i="13"/>
  <c r="H58" i="13"/>
  <c r="I58" i="13"/>
  <c r="F59" i="13"/>
  <c r="G59" i="13"/>
  <c r="H59" i="13"/>
  <c r="I59" i="13"/>
  <c r="F60" i="13"/>
  <c r="G60" i="13"/>
  <c r="H60" i="13"/>
  <c r="I60" i="13"/>
  <c r="I61" i="13"/>
  <c r="F6" i="12"/>
  <c r="F14" i="12"/>
  <c r="F28" i="12"/>
  <c r="J7" i="12"/>
  <c r="C6" i="12"/>
  <c r="E20" i="12"/>
  <c r="D25" i="13"/>
  <c r="D43" i="13"/>
  <c r="D61" i="13"/>
  <c r="D65" i="13"/>
  <c r="C45" i="13"/>
  <c r="C44" i="13"/>
  <c r="C27" i="13"/>
  <c r="C26" i="13"/>
  <c r="C61" i="13"/>
  <c r="C43" i="13"/>
  <c r="C25" i="13"/>
  <c r="C65" i="13"/>
  <c r="C67" i="13"/>
  <c r="I9" i="13"/>
  <c r="C7" i="12"/>
  <c r="C9" i="12"/>
  <c r="C17" i="12"/>
  <c r="E34" i="12"/>
  <c r="D16" i="12"/>
  <c r="D15" i="12"/>
  <c r="D14" i="12"/>
  <c r="D13" i="12"/>
  <c r="D12" i="12"/>
  <c r="D11" i="12"/>
  <c r="D10" i="12"/>
  <c r="D9" i="12"/>
  <c r="D8" i="12"/>
  <c r="D7" i="12"/>
  <c r="D6" i="12"/>
  <c r="E78" i="17"/>
  <c r="E79" i="17"/>
  <c r="E80" i="17"/>
  <c r="E81" i="17"/>
  <c r="E83" i="17"/>
  <c r="F83" i="17"/>
  <c r="H6" i="11"/>
  <c r="H7" i="11"/>
  <c r="H8" i="11"/>
  <c r="H9" i="11"/>
  <c r="H10" i="11"/>
  <c r="H11" i="11"/>
  <c r="H12" i="11"/>
  <c r="H13" i="11"/>
  <c r="H14" i="11"/>
  <c r="H15" i="11"/>
  <c r="H16" i="11"/>
  <c r="H17" i="11"/>
  <c r="H18" i="11"/>
  <c r="H19" i="11"/>
  <c r="H83" i="17"/>
  <c r="F81" i="17"/>
  <c r="H81" i="17"/>
  <c r="F80" i="17"/>
  <c r="H80" i="17"/>
  <c r="F79" i="17"/>
  <c r="H79" i="17"/>
  <c r="F78" i="17"/>
  <c r="H78" i="17"/>
  <c r="E77" i="17"/>
  <c r="F77" i="17"/>
  <c r="H77" i="17"/>
  <c r="E76" i="17"/>
  <c r="F76" i="17"/>
  <c r="H76" i="17"/>
  <c r="E19" i="11"/>
  <c r="G83" i="17"/>
  <c r="G82" i="17"/>
  <c r="G81" i="17"/>
  <c r="G80" i="17"/>
  <c r="G79" i="17"/>
  <c r="G78" i="17"/>
  <c r="G77" i="17"/>
  <c r="G76" i="17"/>
  <c r="H43" i="11"/>
  <c r="H31" i="11"/>
  <c r="H32" i="11"/>
  <c r="H33" i="11"/>
  <c r="H34" i="11"/>
  <c r="H35" i="11"/>
  <c r="H36" i="11"/>
  <c r="H37" i="11"/>
  <c r="H38" i="11"/>
  <c r="H39" i="11"/>
  <c r="H40" i="11"/>
  <c r="H41" i="11"/>
  <c r="H42" i="11"/>
  <c r="H44" i="11"/>
  <c r="E44" i="11"/>
  <c r="I18" i="11"/>
  <c r="I6" i="11"/>
  <c r="I7" i="11"/>
  <c r="I8" i="11"/>
  <c r="I9" i="11"/>
  <c r="I10" i="11"/>
  <c r="I11" i="11"/>
  <c r="I12" i="11"/>
  <c r="I13" i="11"/>
  <c r="I14" i="11"/>
  <c r="I15" i="11"/>
  <c r="I16" i="11"/>
  <c r="I17" i="11"/>
  <c r="I19" i="11"/>
  <c r="J10" i="12"/>
  <c r="I21" i="11"/>
  <c r="I23" i="11"/>
  <c r="I25" i="11"/>
  <c r="C25" i="12"/>
  <c r="C26" i="12"/>
  <c r="J15" i="12"/>
  <c r="J16" i="12"/>
  <c r="J19" i="12"/>
  <c r="J21" i="12"/>
  <c r="J26" i="12"/>
  <c r="J29" i="12"/>
  <c r="C34" i="12"/>
  <c r="F25" i="13"/>
  <c r="F43" i="13"/>
  <c r="F61" i="13"/>
  <c r="F65" i="13"/>
  <c r="G25" i="13"/>
  <c r="G43" i="13"/>
  <c r="G61" i="13"/>
  <c r="G65" i="13"/>
  <c r="H25" i="13"/>
  <c r="H43" i="13"/>
  <c r="H61" i="13"/>
  <c r="H65" i="13"/>
  <c r="E13" i="12"/>
  <c r="E12" i="12"/>
  <c r="E11" i="12"/>
  <c r="E10" i="12"/>
  <c r="E9" i="12"/>
  <c r="E8" i="12"/>
  <c r="E7" i="12"/>
  <c r="E6" i="12"/>
  <c r="C28" i="12"/>
  <c r="E124" i="1"/>
  <c r="E125" i="1"/>
  <c r="E126" i="1"/>
  <c r="E127" i="1"/>
  <c r="E128" i="1"/>
  <c r="E129" i="1"/>
  <c r="E130" i="1"/>
  <c r="E131" i="1"/>
  <c r="E132" i="1"/>
  <c r="E133" i="1"/>
  <c r="E134" i="1"/>
  <c r="G124" i="1"/>
  <c r="G125" i="1"/>
  <c r="G126" i="1"/>
  <c r="G127" i="1"/>
  <c r="G128" i="1"/>
  <c r="G129" i="1"/>
  <c r="G130" i="1"/>
  <c r="G131" i="1"/>
  <c r="G132" i="1"/>
  <c r="G133" i="1"/>
  <c r="G134" i="1"/>
  <c r="H124" i="1"/>
  <c r="H125" i="1"/>
  <c r="H126" i="1"/>
  <c r="H127" i="1"/>
  <c r="H128" i="1"/>
  <c r="H129" i="1"/>
  <c r="H130" i="1"/>
  <c r="H131" i="1"/>
  <c r="H132" i="1"/>
  <c r="H133" i="1"/>
  <c r="H134" i="1"/>
  <c r="E123" i="1"/>
  <c r="G123" i="1"/>
  <c r="H123" i="1"/>
  <c r="E113" i="1"/>
  <c r="E114" i="1"/>
  <c r="E115" i="1"/>
  <c r="E116" i="1"/>
  <c r="E117" i="1"/>
  <c r="E118" i="1"/>
  <c r="E119" i="1"/>
  <c r="E120" i="1"/>
  <c r="E121" i="1"/>
  <c r="E122" i="1"/>
  <c r="G113" i="1"/>
  <c r="G114" i="1"/>
  <c r="G115" i="1"/>
  <c r="G116" i="1"/>
  <c r="G117" i="1"/>
  <c r="G118" i="1"/>
  <c r="G119" i="1"/>
  <c r="G120" i="1"/>
  <c r="G121" i="1"/>
  <c r="G122" i="1"/>
  <c r="H113" i="1"/>
  <c r="H114" i="1"/>
  <c r="H115" i="1"/>
  <c r="H116" i="1"/>
  <c r="H117" i="1"/>
  <c r="H118" i="1"/>
  <c r="H119" i="1"/>
  <c r="H120" i="1"/>
  <c r="H121" i="1"/>
  <c r="H122" i="1"/>
  <c r="E112" i="1"/>
  <c r="G112" i="1"/>
  <c r="H112" i="1"/>
  <c r="E102" i="1"/>
  <c r="E103" i="1"/>
  <c r="E104" i="1"/>
  <c r="E105" i="1"/>
  <c r="E106" i="1"/>
  <c r="E107" i="1"/>
  <c r="E108" i="1"/>
  <c r="E109" i="1"/>
  <c r="E110" i="1"/>
  <c r="E111" i="1"/>
  <c r="G102" i="1"/>
  <c r="G103" i="1"/>
  <c r="G104" i="1"/>
  <c r="G105" i="1"/>
  <c r="G106" i="1"/>
  <c r="G107" i="1"/>
  <c r="G108" i="1"/>
  <c r="G109" i="1"/>
  <c r="G110" i="1"/>
  <c r="G111" i="1"/>
  <c r="H102" i="1"/>
  <c r="H103" i="1"/>
  <c r="H104" i="1"/>
  <c r="H105" i="1"/>
  <c r="H106" i="1"/>
  <c r="H107" i="1"/>
  <c r="H108" i="1"/>
  <c r="H109" i="1"/>
  <c r="H110" i="1"/>
  <c r="H111" i="1"/>
  <c r="E101" i="1"/>
  <c r="G101" i="1"/>
  <c r="H101" i="1"/>
  <c r="E91" i="1"/>
  <c r="E92" i="1"/>
  <c r="E93" i="1"/>
  <c r="E94" i="1"/>
  <c r="E95" i="1"/>
  <c r="E96" i="1"/>
  <c r="E97" i="1"/>
  <c r="E98" i="1"/>
  <c r="E99" i="1"/>
  <c r="E100" i="1"/>
  <c r="G91" i="1"/>
  <c r="G92" i="1"/>
  <c r="G93" i="1"/>
  <c r="G94" i="1"/>
  <c r="G95" i="1"/>
  <c r="G96" i="1"/>
  <c r="G97" i="1"/>
  <c r="G98" i="1"/>
  <c r="G99" i="1"/>
  <c r="G100" i="1"/>
  <c r="H91" i="1"/>
  <c r="H92" i="1"/>
  <c r="H93" i="1"/>
  <c r="H94" i="1"/>
  <c r="H95" i="1"/>
  <c r="H96" i="1"/>
  <c r="H97" i="1"/>
  <c r="H98" i="1"/>
  <c r="H99" i="1"/>
  <c r="H100" i="1"/>
  <c r="E90" i="1"/>
  <c r="G90" i="1"/>
  <c r="H90" i="1"/>
  <c r="E80" i="1"/>
  <c r="E81" i="1"/>
  <c r="E82" i="1"/>
  <c r="E83" i="1"/>
  <c r="E84" i="1"/>
  <c r="E85" i="1"/>
  <c r="E86" i="1"/>
  <c r="E87" i="1"/>
  <c r="E88" i="1"/>
  <c r="E89" i="1"/>
  <c r="G80" i="1"/>
  <c r="G81" i="1"/>
  <c r="G82" i="1"/>
  <c r="G83" i="1"/>
  <c r="G84" i="1"/>
  <c r="G85" i="1"/>
  <c r="G86" i="1"/>
  <c r="G87" i="1"/>
  <c r="G88" i="1"/>
  <c r="G89" i="1"/>
  <c r="H80" i="1"/>
  <c r="H81" i="1"/>
  <c r="H82" i="1"/>
  <c r="H83" i="1"/>
  <c r="H84" i="1"/>
  <c r="H85" i="1"/>
  <c r="H86" i="1"/>
  <c r="H87" i="1"/>
  <c r="H88" i="1"/>
  <c r="H89" i="1"/>
  <c r="E79" i="1"/>
  <c r="G79" i="1"/>
  <c r="H79" i="1"/>
  <c r="E70" i="1"/>
  <c r="E71" i="1"/>
  <c r="E72" i="1"/>
  <c r="E73" i="1"/>
  <c r="E74" i="1"/>
  <c r="E75" i="1"/>
  <c r="E76" i="1"/>
  <c r="E77" i="1"/>
  <c r="E78" i="1"/>
  <c r="G70" i="1"/>
  <c r="G71" i="1"/>
  <c r="G72" i="1"/>
  <c r="G73" i="1"/>
  <c r="G74" i="1"/>
  <c r="G75" i="1"/>
  <c r="G76" i="1"/>
  <c r="G77" i="1"/>
  <c r="G78" i="1"/>
  <c r="H70" i="1"/>
  <c r="H71" i="1"/>
  <c r="H72" i="1"/>
  <c r="H73" i="1"/>
  <c r="H74" i="1"/>
  <c r="H75" i="1"/>
  <c r="H76" i="1"/>
  <c r="H77" i="1"/>
  <c r="H78" i="1"/>
  <c r="E60" i="1"/>
  <c r="G60" i="1"/>
  <c r="H60" i="1"/>
  <c r="G2" i="6"/>
  <c r="E2" i="6"/>
  <c r="E3" i="6"/>
  <c r="E4" i="6"/>
  <c r="E5" i="6"/>
  <c r="E6" i="6"/>
  <c r="E7" i="6"/>
  <c r="E8" i="6"/>
  <c r="E9" i="6"/>
  <c r="E10" i="6"/>
  <c r="E11" i="6"/>
  <c r="E12" i="6"/>
  <c r="E13" i="6"/>
  <c r="E2" i="1"/>
  <c r="E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1" i="1"/>
  <c r="E62" i="1"/>
  <c r="E63" i="1"/>
  <c r="E64" i="1"/>
  <c r="E65" i="1"/>
  <c r="E66" i="1"/>
  <c r="E67" i="1"/>
  <c r="E68" i="1"/>
  <c r="E69" i="1"/>
  <c r="G2"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1" i="1"/>
  <c r="G62" i="1"/>
  <c r="G63" i="1"/>
  <c r="G64" i="1"/>
  <c r="G65" i="1"/>
  <c r="G66" i="1"/>
  <c r="G67" i="1"/>
  <c r="G68" i="1"/>
  <c r="G69" i="1"/>
  <c r="G3" i="6"/>
  <c r="H3" i="6"/>
  <c r="G4" i="6"/>
  <c r="G5" i="6"/>
  <c r="H5" i="6"/>
  <c r="G6" i="6"/>
  <c r="G7" i="6"/>
  <c r="H7" i="6"/>
  <c r="G8" i="6"/>
  <c r="G9" i="6"/>
  <c r="G10" i="6"/>
  <c r="G11" i="6"/>
  <c r="G12" i="6"/>
  <c r="H12" i="6"/>
  <c r="G13" i="6"/>
  <c r="H13" i="6"/>
  <c r="H2" i="6"/>
  <c r="H4" i="6"/>
  <c r="H6" i="6"/>
  <c r="H8" i="6"/>
  <c r="H9" i="6"/>
  <c r="H10" i="6"/>
  <c r="H11" i="6"/>
  <c r="H2" i="1"/>
  <c r="H3" i="1"/>
  <c r="H4" i="1"/>
  <c r="H5" i="1"/>
  <c r="H6" i="1"/>
  <c r="H7" i="1"/>
  <c r="H51" i="1"/>
  <c r="H59" i="1"/>
  <c r="H61" i="1"/>
  <c r="H65" i="1"/>
  <c r="H66" i="1"/>
  <c r="H67" i="1"/>
  <c r="H68" i="1"/>
  <c r="H69" i="1"/>
  <c r="H62" i="1"/>
  <c r="H63" i="1"/>
  <c r="H64" i="1"/>
  <c r="H57" i="1"/>
  <c r="H58" i="1"/>
  <c r="H54" i="1"/>
  <c r="H56" i="1"/>
  <c r="H52" i="1"/>
  <c r="H53" i="1"/>
  <c r="H55" i="1"/>
  <c r="H45" i="1"/>
  <c r="H46" i="1"/>
  <c r="H47" i="1"/>
  <c r="H48" i="1"/>
  <c r="H49" i="1"/>
  <c r="H50" i="1"/>
  <c r="H39" i="1"/>
  <c r="H40" i="1"/>
  <c r="H41" i="1"/>
  <c r="H42" i="1"/>
  <c r="H43" i="1"/>
  <c r="H44" i="1"/>
  <c r="H32" i="1"/>
  <c r="H33" i="1"/>
  <c r="H34" i="1"/>
  <c r="H35" i="1"/>
  <c r="H36" i="1"/>
  <c r="H37" i="1"/>
  <c r="H38" i="1"/>
  <c r="H26" i="1"/>
  <c r="H27" i="1"/>
  <c r="H28" i="1"/>
  <c r="H29" i="1"/>
  <c r="H30" i="1"/>
  <c r="H31" i="1"/>
  <c r="H20" i="1"/>
  <c r="H21" i="1"/>
  <c r="H22" i="1"/>
  <c r="H23" i="1"/>
  <c r="H24" i="1"/>
  <c r="H25" i="1"/>
  <c r="H14" i="1"/>
  <c r="H15" i="1"/>
  <c r="H16" i="1"/>
  <c r="H17" i="1"/>
  <c r="H18" i="1"/>
  <c r="H19" i="1"/>
  <c r="H9" i="1"/>
  <c r="H10" i="1"/>
  <c r="H11" i="1"/>
  <c r="H12" i="1"/>
  <c r="H13" i="1"/>
  <c r="H8" i="1"/>
  <c r="C35" i="12"/>
  <c r="C36" i="12"/>
</calcChain>
</file>

<file path=xl/sharedStrings.xml><?xml version="1.0" encoding="utf-8"?>
<sst xmlns="http://schemas.openxmlformats.org/spreadsheetml/2006/main" count="854" uniqueCount="336">
  <si>
    <t>Actual</t>
  </si>
  <si>
    <t>January</t>
  </si>
  <si>
    <t>February</t>
  </si>
  <si>
    <t>March</t>
  </si>
  <si>
    <t>April</t>
  </si>
  <si>
    <t>Line Item</t>
  </si>
  <si>
    <t>Variance</t>
  </si>
  <si>
    <t>Month</t>
  </si>
  <si>
    <t>Prior Year</t>
  </si>
  <si>
    <t>Prior Year Variance</t>
  </si>
  <si>
    <t>Actual - Prior Overview</t>
  </si>
  <si>
    <t>Dues and Subscriptions</t>
  </si>
  <si>
    <t>Insurance</t>
  </si>
  <si>
    <t>Interest</t>
  </si>
  <si>
    <t>Legal and Auditing</t>
  </si>
  <si>
    <t>May</t>
  </si>
  <si>
    <t>June</t>
  </si>
  <si>
    <t>July</t>
  </si>
  <si>
    <t>August</t>
  </si>
  <si>
    <t>September</t>
  </si>
  <si>
    <t>October</t>
  </si>
  <si>
    <t>November</t>
  </si>
  <si>
    <t>December</t>
  </si>
  <si>
    <t>Estimated</t>
  </si>
  <si>
    <t>Total Expenses</t>
  </si>
  <si>
    <t>Salaries and Wages</t>
  </si>
  <si>
    <t>Power and other utilities</t>
  </si>
  <si>
    <t>Chemicals and treatment</t>
  </si>
  <si>
    <t>Sampling</t>
  </si>
  <si>
    <t>Materials, parts and repairs</t>
  </si>
  <si>
    <t>Transportation</t>
  </si>
  <si>
    <t>Office supplies and postage</t>
  </si>
  <si>
    <t>Permits and fees</t>
  </si>
  <si>
    <t>Water rates</t>
  </si>
  <si>
    <t>RESERVE FUND CALCULATOR</t>
  </si>
  <si>
    <t>ITEM</t>
  </si>
  <si>
    <t>REPLACEMENT COST</t>
  </si>
  <si>
    <t>INFLATION</t>
  </si>
  <si>
    <t>FUTURE COST</t>
  </si>
  <si>
    <t>Mobilization</t>
  </si>
  <si>
    <t>500000 Gallon Steel Tank</t>
  </si>
  <si>
    <t>Well &amp; Pump house</t>
  </si>
  <si>
    <t>10"Water lines</t>
  </si>
  <si>
    <t>8" Water lines</t>
  </si>
  <si>
    <t>6" Water lines</t>
  </si>
  <si>
    <t>Water Valves</t>
  </si>
  <si>
    <t>Fire Hydrants</t>
  </si>
  <si>
    <t>Street Repair</t>
  </si>
  <si>
    <t>Concrete Collar for Valve box</t>
  </si>
  <si>
    <t>Engineering/Mgmt</t>
  </si>
  <si>
    <t>Contingency</t>
  </si>
  <si>
    <t>Quantity</t>
  </si>
  <si>
    <t>Unit Price</t>
  </si>
  <si>
    <t>1  LS</t>
  </si>
  <si>
    <t>1220  LF</t>
  </si>
  <si>
    <t>29096 LF</t>
  </si>
  <si>
    <t>1500 LF</t>
  </si>
  <si>
    <t>205 EA</t>
  </si>
  <si>
    <t>3000   SF</t>
  </si>
  <si>
    <t>15  Each</t>
  </si>
  <si>
    <t>5  Each</t>
  </si>
  <si>
    <t>Reserve Fund</t>
  </si>
  <si>
    <t>Accounting</t>
  </si>
  <si>
    <t>Other Costs</t>
  </si>
  <si>
    <t>Total Other Cost</t>
  </si>
  <si>
    <t>Total Expensees</t>
  </si>
  <si>
    <t>ANNUAL BUDGETING WORKSHEET</t>
  </si>
  <si>
    <t>EXPENSES (YEARLY)</t>
  </si>
  <si>
    <t>Total Revenues</t>
  </si>
  <si>
    <t>NET INCOME</t>
  </si>
  <si>
    <t>Additional Revenue Needed</t>
  </si>
  <si>
    <t>( Expenses-Revenue)</t>
  </si>
  <si>
    <t>COST OF WATER DELIVERY</t>
  </si>
  <si>
    <t>Total Glns Delivered per year</t>
  </si>
  <si>
    <t>Total Number of Customers</t>
  </si>
  <si>
    <t>Cost per million Gallons</t>
  </si>
  <si>
    <t>Connection Fees (Proposed)</t>
  </si>
  <si>
    <t>Bryce Canyon Resort Example:</t>
  </si>
  <si>
    <t>Total Gallon per Day</t>
  </si>
  <si>
    <t>Total Gallon per year</t>
  </si>
  <si>
    <t>Cost per million gln/yr</t>
  </si>
  <si>
    <t>ANNUAL REHAB &amp; REPLACEMENT AMOUNT</t>
  </si>
  <si>
    <t>ANNUAL REHAB AND REPLACEMENT AMOUNT</t>
  </si>
  <si>
    <t>OPERATING RESERVE ( PROPOSED AT 40% OFTOTAL OF MAINTENANCE AND OPERATING ANNUAL BUDGET):</t>
  </si>
  <si>
    <t>EQUIPMENT REPLACEMENT ( PROPOSED AT 20% OF TOTAL OF MAINTENANCE AND OPERATING ANNUAL BUDGET):</t>
  </si>
  <si>
    <t>TOTAL RESERVE FUND</t>
  </si>
  <si>
    <t xml:space="preserve">Maintenance &amp; Operating Cost.                               </t>
  </si>
  <si>
    <t>Total Maintenance &amp; Operating Cost</t>
  </si>
  <si>
    <t>Water Usage Fees</t>
  </si>
  <si>
    <t>Late Fees</t>
  </si>
  <si>
    <t>Fire Hydrant Fees</t>
  </si>
  <si>
    <t>Aug</t>
  </si>
  <si>
    <t>Sept</t>
  </si>
  <si>
    <t>Oct</t>
  </si>
  <si>
    <t>Nov</t>
  </si>
  <si>
    <t>Gallon Used</t>
  </si>
  <si>
    <t>TOTAL</t>
  </si>
  <si>
    <t>Residential</t>
  </si>
  <si>
    <t>Restaurant- Fast Food</t>
  </si>
  <si>
    <t>Restaurant- Sitdown</t>
  </si>
  <si>
    <t>Service Station</t>
  </si>
  <si>
    <t>Service Station With Food</t>
  </si>
  <si>
    <t>0.0065/gln</t>
  </si>
  <si>
    <t>0.0025/gln</t>
  </si>
  <si>
    <t>Water Service Deposit</t>
  </si>
  <si>
    <t>Residential Service Equivalent</t>
  </si>
  <si>
    <t>Connection Fee</t>
  </si>
  <si>
    <t>Hotel/Motel(First 6 Rooms)</t>
  </si>
  <si>
    <t>Each Additional Unit</t>
  </si>
  <si>
    <t>RV Park (First 3 lots)</t>
  </si>
  <si>
    <t>Each Additional Lot</t>
  </si>
  <si>
    <t>USAGE AND OTHER FEES SCHEDULE</t>
  </si>
  <si>
    <t>3rd 50,000 gln; Over 100,00 gln</t>
  </si>
  <si>
    <t xml:space="preserve">Dec </t>
  </si>
  <si>
    <t>Jan</t>
  </si>
  <si>
    <t>Feb</t>
  </si>
  <si>
    <t>Mar</t>
  </si>
  <si>
    <t>$0.0035/gln</t>
  </si>
  <si>
    <t>Meter Fee</t>
  </si>
  <si>
    <t>Fire Hydrant</t>
  </si>
  <si>
    <t>UPTOP</t>
  </si>
  <si>
    <t>BCR</t>
  </si>
  <si>
    <t>WILDLIFE MUSEUM</t>
  </si>
  <si>
    <t>New Hydrant Install</t>
  </si>
  <si>
    <t>Upto 50000 glns</t>
  </si>
  <si>
    <t>Above 50000 glns</t>
  </si>
  <si>
    <t>Water Sale for Hydrant</t>
  </si>
  <si>
    <t>Rental Cabins (First 6 units)</t>
  </si>
  <si>
    <t>Monthly</t>
  </si>
  <si>
    <t>Delinquent Fees</t>
  </si>
  <si>
    <t>Delinquent Interest Rate</t>
  </si>
  <si>
    <t>Reconnection Fees</t>
  </si>
  <si>
    <t>Impact Fees</t>
  </si>
  <si>
    <t>It is proposed the fee collected should be on actual cost of improvement plus administrative charges.</t>
  </si>
  <si>
    <t>Standby Fees</t>
  </si>
  <si>
    <t>Net Operating Income</t>
  </si>
  <si>
    <t>Other Income</t>
  </si>
  <si>
    <t xml:space="preserve">Non Operating Expenses </t>
  </si>
  <si>
    <t>Payment of Notes</t>
  </si>
  <si>
    <t>Grand Total</t>
  </si>
  <si>
    <t>Water Usage only for 2020</t>
  </si>
  <si>
    <t>PROJECTED REVENUES(YEARLY)</t>
  </si>
  <si>
    <t>FY 2021</t>
  </si>
  <si>
    <t>Proposed rate examples based on Usage Data for 2020 and projected 2021</t>
  </si>
  <si>
    <t>Cost for total usage</t>
  </si>
  <si>
    <t>Non Operating Revenue</t>
  </si>
  <si>
    <t>Total Additional Revenue Needed</t>
  </si>
  <si>
    <t xml:space="preserve">TO TRY DIFFERENT RATES CHANGE VALUES IN CELLS SHAHED YELLOW </t>
  </si>
  <si>
    <t>To all lot owners currently not</t>
  </si>
  <si>
    <t>On vacant lots not connected to</t>
  </si>
  <si>
    <t xml:space="preserve">Or not receiving service from </t>
  </si>
  <si>
    <t>Bristlecone Water Improvement</t>
  </si>
  <si>
    <t>$8.00 /1000 glns</t>
  </si>
  <si>
    <t>$5.00 /1000 glns</t>
  </si>
  <si>
    <t>Per Meter</t>
  </si>
  <si>
    <t>$50.00 / Month</t>
  </si>
  <si>
    <t>1.5% / Month</t>
  </si>
  <si>
    <t xml:space="preserve">       Summary of Advisory Opinion
In Utah, local governments enjoy broad authority to carry out the duties and powers granted to them. This authority includes wide latitude on decisions to construct and operate public utilities, including discretion on how to fund such operations. Local governments may charge fees for services or benefits provided. Operating a public water system confers distinct and tangible benefits on all properties served by the system, whether the property owners actually use the water service or not. The presence of the system enhances the value and marketability of land, and all properties benefit from the fire suppression provided by hydrants included with the public water system. Given the broad authority and latitude afforded to local governments, and the benefits provided by public water systems, a reasonable “standby fee” may be charged to properties which have not yet connected to the water system.</t>
  </si>
  <si>
    <t>https://propertyrights.utah.gov/advisory-opinions/view-all-advisory-opinions/advisory-opinion-101/</t>
  </si>
  <si>
    <t>**YEARS TO REPLACE</t>
  </si>
  <si>
    <t>** Years before replacement are from FY 2020, assuming install Year as FY 2000.</t>
  </si>
  <si>
    <t>Connection Fee Worksheet</t>
  </si>
  <si>
    <t>‘600 ACRES IS PLACE HOLDER.NEED TO GET INFORMATION FROM COUNTY</t>
  </si>
  <si>
    <t>SURVEYOR OF ACREAGE WITHIN BWID BOUNDARIES)</t>
  </si>
  <si>
    <t xml:space="preserve">Consideration of offsets and credits can be tracked back to one of the most influential court cases in the history of development fees: Banberry Development Corportation et al. v. South Jordan City, 631 P.2d 899 (Utah, 19981). In this case, the Utah Supreme Court held that in establishing development fees, local governments must consider the share of capital costs to be born by newly developed properties relative to the costs already borne by existing properties. Specifically, the Court identified seven factors that an entity must consider:
1. Cost of existing capital facilities;
2. Manner of financing existing capital facilities;
3. Relative extent to which newly developed properties and other properties in the municipality have already contributed to the cost of existing capital facilities;
4. The extent to which the newly developed properties will contribute to the cost of existing public facilities in the future;
5. Relative extent to which newly developed properties and other properties in the municipality are entitled to a credit because the municipality is requiring new developers or owners to provide common facilities that have been provided by the municipality and financed through general taxation or other means in other parts of the municipality;
6. Extraordinary costs in servicing newly developed properties; and
7. Time-price differential inherent in fair comparisons of amounts paid at different times.
While the applicability of Banberry as a legal standard is limited to those states that adopted some or all of the factors listed above within development fee enabling acts (Utah, Hawaii, and Georgia, for example), the case carries significant </t>
  </si>
  <si>
    <t>System Buy-In Approach. The system buy-in approach is based on existing facilities and costs. Under this approach, new customers are required to “buy in” to existing system facilities, generally at a rate that reflects the prior investment per unit of capacity (capacity buy-in). The capacity buy-in approach is illustrated below:
Existing System Investment ÷ Existing System Capacity = $/unit of capacity
Another, less common approach is the demand buy-in approach that requires buy-in at a rate equal to the existing investment per unit of existing demand. This approach is illustrated as follows:
Existing System Investment ÷ Existing System Demand = $/unit of demand
As illustrated above, the capacity buy-in approach differs from the demand buy-in approach in terms of the denominator of the unit cost calculation. The denominator in the demand buy-in approach is the current demand in the system. In contrast, the denominator of the capacity buy-in approach is the existing system capacity. To the extent that there is excess capacity available in the existing system (meaning capacity is greater than existing demand), the capacity buy-in approach will yield a smaller unit cost and development fee (all other things equal) than the demand buy-in approach.
Capacity Expansion Approach. While the buy-in approaches can be characterized as backward- looking, the capacity expansion approach is very much a forward-looking approach. The basis for the fees under this methodology is the projection of capacity-enhancing capital improvements planned for the system during the planning horizon (typically 10 to 20 years). The utility’s master plan, facility plan, or other capital plan generally serves as the basis for this information. The projected capacity costs are then divided by the projected growth units during this same planning period to determine the development fees per unit of growth. This approach is illustrated below:
Future Capacity Costs ÷ Growth Units to be Served = $/unit of growth
Combined Approach. The combined approach is designed to recover both the costs of existing available system capacity and planned additional capacity costs. This approach is generally the most technically rigorous of the development fee calculation approaches. It involves explicit determination of available capacity in the existing system, as well as apportionment of future capital costs between existing users and new development. The buy-in or reimbursement fee component is determined by dividing the value of available capacity in the existing system by the estimated growth units during the planning period. The improvement fee component is determined by dividing the value of future capacity-increasing costs by the estimated growth units. So, unlike the capacity expansion approach described previously that only recovers the
future capacity costs related to growth, the combined approach also recovers the costs of available capacity of the existing system.
Figure 1 provides an illustration of the combined fee structure approach. Existing customer and growth demands are analyzed, and facility capacities are reviewed to determine what portion of the existing system is available for growth, along with needed new facilities or facility expansions. The value of the existing system available capacity serves as the basis for the reimbursement component of the fee, and the value of new facility costs is the basis for the improvement fee component.
FIGURE 1 – COMBINED FEE STRUCTURE
Development Fee Calculation
.
All of the approaches described above are used in the industry today. The selection of a specific approach should consider a number of factors, including: legal requirements, data availability, equity, and public acceptance. Enabling legislation in some states provides very broad guidelines and any of the fee structures would likely meet established standards. Arizona law, for example, requires only that the fees: “bear a reasonable relationship to the burden imposed upon the municipality to provide additional necessary public services to the development.” To the extent that the existing system has excess capacity for growth, or that new capacity can be added at a similar unit cost, the capacity buy-in approach would meet the requirements of the law. The capacity expansion and combined approaches, when based on a defensible capital improvements plan, should also meet the requirements of the law.
In other states, development fee legislation is generally more oriented to a capacity expansion approach, though in many cases (Utah and Georgia for example), provisions allow for consideration of existing facility costs, provided these facilities will serve growth. Oregon law explicitly allows for implementation of a reimbursement fee, an improvement fee, or a combination of the two. However, recent changes to Oregon law also require that in cases where a reimbursement fee or combined fee is to be charged, that the methodology demonstrates that the existing system have available capacity to serve growth.</t>
  </si>
  <si>
    <t>Indoor Use</t>
  </si>
  <si>
    <t>Outdoor Use</t>
  </si>
  <si>
    <t>Fire Flow</t>
  </si>
  <si>
    <t>N/A</t>
  </si>
  <si>
    <t>400 gallons per ERC</t>
  </si>
  <si>
    <t>Water System Component</t>
  </si>
  <si>
    <t>Pressure</t>
  </si>
  <si>
    <t>Source Water Rights</t>
  </si>
  <si>
    <t>400 gpd(0.45 ac-ft) per ERC (Average Daily DemandI</t>
  </si>
  <si>
    <t>1.17 ac-ft/irrigated acre</t>
  </si>
  <si>
    <t>Source-Demand</t>
  </si>
  <si>
    <t>800 gpd(0.56 gpd) per ERC (peak Daily Demand)</t>
  </si>
  <si>
    <t>2.26 gpd/irrigated acre</t>
  </si>
  <si>
    <t>Water Storage</t>
  </si>
  <si>
    <t>1.782 gallons/irrigated acre</t>
  </si>
  <si>
    <t>120,000-180,000 gallons</t>
  </si>
  <si>
    <t>Facility</t>
  </si>
  <si>
    <t>Bryce Canyon Resort</t>
  </si>
  <si>
    <t>Pizza Barn</t>
  </si>
  <si>
    <t>Uptop</t>
  </si>
  <si>
    <t>Bryce Wildlife Musuem</t>
  </si>
  <si>
    <t>Totals</t>
  </si>
  <si>
    <t>ln-Active Average
Yearly Indoor Use (AF)</t>
  </si>
  <si>
    <t>Active 
Average Yearly Indoor Use (AF)</t>
  </si>
  <si>
    <t>Average Yearly
Outdoor Use (AF)</t>
  </si>
  <si>
    <t xml:space="preserve">Total Average Yearly Demand (AF)
</t>
  </si>
  <si>
    <t>The remaining water rights and number of ERC the system can service beyond its existing connections is as follows:</t>
  </si>
  <si>
    <t>Remaining ERCs = 114.577-19.1/0.45 ac.ft per ERC=212.17 ERCs; assuming indoor use .</t>
  </si>
  <si>
    <t>Source Capacity ( 95 gpd X 2/3) = 63.3 gpm</t>
  </si>
  <si>
    <t>Existing Demand = 40.8 ERCs * (0.56 gpm per ERC) + (0.8 * 2.26 gpm/irrigated acre) = 24.66 gpm</t>
  </si>
  <si>
    <t>Remaining Capacity= 63.3 gpm- 24.66 gpm/0.56 gpm per ERC = 69 ERCs</t>
  </si>
  <si>
    <t>Storage Component</t>
  </si>
  <si>
    <t>Storage Amount</t>
  </si>
  <si>
    <t>Req'd Fire Suppression Storage (gallons)</t>
  </si>
  <si>
    <t>1,500 gpm X 2 hrs = 180,000 gallons</t>
  </si>
  <si>
    <t>Req'd Equalization Storage (gallons)</t>
  </si>
  <si>
    <t>Indoor Use: 400 gallons per ERC X 40.80 ERCs = 16,320 gallons</t>
  </si>
  <si>
    <t>Outdoor Use: 0.8 irrigated acres X 1,782 gallons per irrigated acres = 1,426 gallons</t>
  </si>
  <si>
    <t>Remaining Capacity (ERCs)</t>
  </si>
  <si>
    <t>(500,000 gallons - 197,746 gallons) / 400 gallons per ERC = 755.635 ERC</t>
  </si>
  <si>
    <t> </t>
  </si>
  <si>
    <t>Table 3-6. Existing and Future System Flow Demands</t>
  </si>
  <si>
    <t>Condition</t>
  </si>
  <si>
    <t>Indoor Use (ERC)</t>
  </si>
  <si>
    <t>Outdoor
Use (ac)</t>
  </si>
  <si>
    <t>Peak Day
Demand (PDD)</t>
  </si>
  <si>
    <t>Peak
Instantaneous
Demand (PID)</t>
  </si>
  <si>
    <t>PDD + Fire Flow Requirement</t>
  </si>
  <si>
    <t>Existing</t>
  </si>
  <si>
    <t>24.48 gpm</t>
  </si>
  <si>
    <t>119.57 gpm</t>
  </si>
  <si>
    <t>1,119.57 gpm</t>
  </si>
  <si>
    <t>Future</t>
  </si>
  <si>
    <t>224.48 gpm</t>
  </si>
  <si>
    <t>504.00 gpm</t>
  </si>
  <si>
    <t>1,724.48 gpm</t>
  </si>
  <si>
    <t>Indoor Water Demand</t>
  </si>
  <si>
    <t>Description</t>
  </si>
  <si>
    <t>DDW Category</t>
  </si>
  <si>
    <t>Unit</t>
  </si>
  <si>
    <t>NO. Of Units</t>
  </si>
  <si>
    <t>Demand (gpd)</t>
  </si>
  <si>
    <t>Operational Period</t>
  </si>
  <si>
    <t>ERC</t>
  </si>
  <si>
    <t>Subway</t>
  </si>
  <si>
    <t>Restaurant w/0 24 hour service</t>
  </si>
  <si>
    <t>Seats</t>
  </si>
  <si>
    <t>Restaurant</t>
  </si>
  <si>
    <t>Seats (indoor and outdoor)</t>
  </si>
  <si>
    <t>Employee Housing Trailers</t>
  </si>
  <si>
    <t>RV Park See Note (2)</t>
  </si>
  <si>
    <t>RV Parks</t>
  </si>
  <si>
    <t>Pads</t>
  </si>
  <si>
    <t>R V Pork Bathroom</t>
  </si>
  <si>
    <t>Modern Recreation Camp (with showers)</t>
  </si>
  <si>
    <t>Person</t>
  </si>
  <si>
    <t>See Note (3)</t>
  </si>
  <si>
    <t>Hotel &amp; Cabins See Note (2)</t>
  </si>
  <si>
    <t>Hotels &amp; Motels</t>
  </si>
  <si>
    <t>Rooms</t>
  </si>
  <si>
    <t>Swimming Pool</t>
  </si>
  <si>
    <t>Water and Deck Area</t>
  </si>
  <si>
    <t>See Note(4)</t>
  </si>
  <si>
    <t>St. Dominic Chapel</t>
  </si>
  <si>
    <t>Chapel</t>
  </si>
  <si>
    <t>Sub Totals</t>
  </si>
  <si>
    <t>MO tel</t>
  </si>
  <si>
    <t>.10tels &amp; Motels</t>
  </si>
  <si>
    <t>Grocery Store</t>
  </si>
  <si>
    <t>Store</t>
  </si>
  <si>
    <t>Employee</t>
  </si>
  <si>
    <t>Residences</t>
  </si>
  <si>
    <t>Homes</t>
  </si>
  <si>
    <t>Auto Garage</t>
  </si>
  <si>
    <t>Public Restrooms</t>
  </si>
  <si>
    <t>Musuem</t>
  </si>
  <si>
    <t>Visitor Center</t>
  </si>
  <si>
    <t>Visitor per day</t>
  </si>
  <si>
    <t>Residence</t>
  </si>
  <si>
    <t>Stock Use at Musuem</t>
  </si>
  <si>
    <t>Number Of animals</t>
  </si>
  <si>
    <t>Total</t>
  </si>
  <si>
    <t>DDW Unit Peak Day</t>
  </si>
  <si>
    <t>Peak Day Indoor USe</t>
  </si>
  <si>
    <t>(Gpd)</t>
  </si>
  <si>
    <t>Avg Indoor Yearly Demand (gallons)</t>
  </si>
  <si>
    <t>Active Avg Yearly Demand(AF)</t>
  </si>
  <si>
    <t>Inactive Avg Yearly Demand (AF)</t>
  </si>
  <si>
    <t>A</t>
  </si>
  <si>
    <t>D</t>
  </si>
  <si>
    <t>E</t>
  </si>
  <si>
    <t>B</t>
  </si>
  <si>
    <t>C</t>
  </si>
  <si>
    <t>F</t>
  </si>
  <si>
    <t>PLEASE CHECK MY INITIAL COMMENT REGARDING THE MULTIPLIER OF $36,200 AND WHERE IT COMES FROM?</t>
  </si>
  <si>
    <t>Excavation</t>
  </si>
  <si>
    <t>1 LS</t>
  </si>
  <si>
    <t>EQ UPDATED</t>
  </si>
  <si>
    <t>ERC Grouponig</t>
  </si>
  <si>
    <t>ERC Group</t>
  </si>
  <si>
    <t>ERC - total per group</t>
  </si>
  <si>
    <t>Current Replacement Cost Disribution</t>
  </si>
  <si>
    <t>Future Replacement Cost Disribution</t>
  </si>
  <si>
    <t>Group % Allocation</t>
  </si>
  <si>
    <t>ERC Category</t>
  </si>
  <si>
    <t>Restaurants with fast food</t>
  </si>
  <si>
    <t>Restaurants with sit down</t>
  </si>
  <si>
    <t>Recreation</t>
  </si>
  <si>
    <t>Hotel/Motel</t>
  </si>
  <si>
    <t>General Retail</t>
  </si>
  <si>
    <t>1st 150,000 gln; 0 TO 150,000 gln</t>
  </si>
  <si>
    <t>2nd 150K, gln;  Over 150K gln</t>
  </si>
  <si>
    <t>RAA LLC</t>
  </si>
  <si>
    <t>JOHN J</t>
  </si>
  <si>
    <t>It is proposed that BWID charge a water banking fee of $500 per month for any user not conneted to a water meter.</t>
  </si>
  <si>
    <t>1st 150,000 gallons</t>
  </si>
  <si>
    <t>2nd 150,000 gallons</t>
  </si>
  <si>
    <t>Over 300,000 gallons</t>
  </si>
  <si>
    <t>Legal fees and Consulting charges</t>
  </si>
  <si>
    <t xml:space="preserve">TO BE </t>
  </si>
  <si>
    <t>DETERMINED</t>
  </si>
  <si>
    <t>AFTER</t>
  </si>
  <si>
    <t xml:space="preserve">DEETER STUDY </t>
  </si>
  <si>
    <t>OF IMPACT FEES</t>
  </si>
  <si>
    <t>PROPOSED</t>
  </si>
  <si>
    <t>MAY CHANGE</t>
  </si>
  <si>
    <t>MAY CHANGE ONCE UPDATED</t>
  </si>
  <si>
    <t>Improvement Costs ( PUMP HOUSE)</t>
  </si>
  <si>
    <t>SHALL BE DETERMINED AFTER DEETER STUDY</t>
  </si>
  <si>
    <t>‘600ac*$2*12</t>
  </si>
  <si>
    <t>getting water service</t>
  </si>
  <si>
    <t>Propose to Charge $2.00 per acre</t>
  </si>
  <si>
    <t xml:space="preserve">District, BUT WITHIN DISTRICT </t>
  </si>
  <si>
    <t>BOUNDARIES</t>
  </si>
  <si>
    <t xml:space="preserve"> Assumed Flat Rate for 1st 150,000 gallons at $0.0035 per gallon,2nd block of 150,000 gallons @ $0.00065 per gallon and 3rd block of over 300,000 gallon at $0.0025 per gallon.  </t>
  </si>
  <si>
    <t>Water Banking Fee(Proposed)</t>
  </si>
  <si>
    <t>Meter Fees(Proposed)</t>
  </si>
  <si>
    <t xml:space="preserve">  </t>
  </si>
  <si>
    <t>Proposed to charge $500/meter</t>
  </si>
  <si>
    <t>Unused Meter Fees(Proposed)</t>
  </si>
  <si>
    <t>Unused meter fees</t>
  </si>
  <si>
    <t>Per Meter per month</t>
  </si>
  <si>
    <t>0.0075/gln</t>
  </si>
  <si>
    <t>Annual Fees per hydrant</t>
  </si>
  <si>
    <t>-</t>
  </si>
  <si>
    <t>Meter Fees/month</t>
  </si>
  <si>
    <t>$1000/meter</t>
  </si>
  <si>
    <t>Past Due Engg Fees</t>
  </si>
  <si>
    <t>Past Due Cody Deter</t>
  </si>
  <si>
    <t>$200/meter/year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</si>
</sst>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5" formatCode="&quot;$&quot;#,##0_);\(&quot;$&quot;#,##0\)"/>
    <numFmt numFmtId="6" formatCode="&quot;$&quot;#,##0_);[Red]\(&quot;$&quot;#,##0\)"/>
    <numFmt numFmtId="44" formatCode="_(&quot;$&quot;* #,##0.00_);_(&quot;$&quot;* \(#,##0.00\);_(&quot;$&quot;* &quot;-&quot;??_);_(@_)"/>
    <numFmt numFmtId="164" formatCode="&quot;$&quot;#,##0.00"/>
    <numFmt numFmtId="165" formatCode="0.0%"/>
    <numFmt numFmtId="166" formatCode="&quot;$&quot;#,##0.00000"/>
    <numFmt numFmtId="167" formatCode="_([$$-409]* #,##0.00_);_([$$-409]* \(#,##0.00\);_([$$-409]* &quot;-&quot;??_);_(@_)"/>
    <numFmt numFmtId="168" formatCode="_([$$-409]* #,##0_);_([$$-409]* \(#,##0\);_([$$-409]* &quot;-&quot;_);_(@_)"/>
    <numFmt numFmtId="170" formatCode="_([$$-409]* #,##0.0000_);_([$$-409]* \(#,##0.0000\);_([$$-409]* &quot;-&quot;??_);_(@_)"/>
  </numFmts>
  <fonts count="16" x14ac:knownFonts="1">
    <font>
      <sz val="12"/>
      <color theme="1"/>
      <name val="Calibri"/>
      <family val="2"/>
      <scheme val="minor"/>
    </font>
    <font>
      <sz val="11"/>
      <color theme="1"/>
      <name val="Calibri"/>
      <family val="2"/>
      <scheme val="minor"/>
    </font>
    <font>
      <sz val="11"/>
      <color theme="1"/>
      <name val="Calibri"/>
      <family val="2"/>
      <scheme val="minor"/>
    </font>
    <font>
      <b/>
      <sz val="20"/>
      <color theme="1" tint="0.24994659260841701"/>
      <name val="Calibri"/>
      <family val="2"/>
      <scheme val="minor"/>
    </font>
    <font>
      <sz val="8"/>
      <name val="Calibri"/>
      <family val="2"/>
      <scheme val="minor"/>
    </font>
    <font>
      <u/>
      <sz val="12"/>
      <color theme="10"/>
      <name val="Calibri"/>
      <family val="2"/>
      <scheme val="minor"/>
    </font>
    <font>
      <u/>
      <sz val="12"/>
      <color theme="11"/>
      <name val="Calibri"/>
      <family val="2"/>
      <scheme val="minor"/>
    </font>
    <font>
      <b/>
      <sz val="12"/>
      <color theme="1"/>
      <name val="Calibri"/>
      <family val="2"/>
      <scheme val="minor"/>
    </font>
    <font>
      <b/>
      <u/>
      <sz val="12"/>
      <color theme="1"/>
      <name val="Calibri"/>
      <family val="2"/>
      <scheme val="minor"/>
    </font>
    <font>
      <u/>
      <sz val="12"/>
      <color theme="1"/>
      <name val="Calibri"/>
      <family val="2"/>
      <scheme val="minor"/>
    </font>
    <font>
      <sz val="12"/>
      <color theme="1"/>
      <name val="Calibri"/>
      <family val="2"/>
      <scheme val="minor"/>
    </font>
    <font>
      <u/>
      <sz val="12"/>
      <color theme="1"/>
      <name val="Calibri"/>
      <family val="2"/>
      <scheme val="minor"/>
    </font>
    <font>
      <b/>
      <u/>
      <sz val="12"/>
      <color theme="1"/>
      <name val="Calibri"/>
      <family val="2"/>
      <scheme val="minor"/>
    </font>
    <font>
      <b/>
      <sz val="9"/>
      <color theme="1"/>
      <name val="Calibri"/>
      <family val="2"/>
      <scheme val="minor"/>
    </font>
    <font>
      <u/>
      <sz val="11"/>
      <color theme="10"/>
      <name val="Calibri"/>
      <family val="2"/>
      <scheme val="minor"/>
    </font>
    <font>
      <sz val="12"/>
      <color theme="1"/>
      <name val="Calibri"/>
      <family val="2"/>
      <scheme val="minor"/>
    </font>
  </fonts>
  <fills count="5">
    <fill>
      <patternFill patternType="none"/>
    </fill>
    <fill>
      <patternFill patternType="gray125"/>
    </fill>
    <fill>
      <patternFill patternType="solid">
        <fgColor theme="5" tint="0.39997558519241921"/>
        <bgColor indexed="64"/>
      </patternFill>
    </fill>
    <fill>
      <patternFill patternType="solid">
        <fgColor rgb="FFFFFF00"/>
        <bgColor indexed="64"/>
      </patternFill>
    </fill>
    <fill>
      <patternFill patternType="solid">
        <fgColor rgb="FF92D050"/>
        <bgColor indexed="64"/>
      </patternFill>
    </fill>
  </fills>
  <borders count="6">
    <border>
      <left/>
      <right/>
      <top/>
      <bottom/>
      <diagonal/>
    </border>
    <border>
      <left/>
      <right/>
      <top/>
      <bottom style="thick">
        <color theme="4"/>
      </bottom>
      <diagonal/>
    </border>
    <border>
      <left style="thin">
        <color theme="7"/>
      </left>
      <right/>
      <top style="thin">
        <color theme="7"/>
      </top>
      <bottom/>
      <diagonal/>
    </border>
    <border>
      <left style="thin">
        <color theme="7"/>
      </left>
      <right/>
      <top style="thin">
        <color theme="7"/>
      </top>
      <bottom style="thin">
        <color theme="7"/>
      </bottom>
      <diagonal/>
    </border>
    <border>
      <left/>
      <right/>
      <top/>
      <bottom style="double">
        <color rgb="FF505050"/>
      </bottom>
      <diagonal/>
    </border>
    <border>
      <left/>
      <right/>
      <top style="thin">
        <color rgb="FF505050"/>
      </top>
      <bottom style="thin">
        <color rgb="FF505050"/>
      </bottom>
      <diagonal/>
    </border>
  </borders>
  <cellStyleXfs count="79">
    <xf numFmtId="0" fontId="0" fillId="0" borderId="0"/>
    <xf numFmtId="0" fontId="3" fillId="0" borderId="1" applyNumberFormat="0" applyFill="0" applyProtection="0">
      <alignment horizontal="left"/>
    </xf>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44" fontId="15" fillId="0" borderId="0" applyFont="0" applyFill="0" applyBorder="0" applyAlignment="0" applyProtection="0"/>
    <xf numFmtId="9" fontId="15" fillId="0" borderId="0" applyFont="0" applyFill="0" applyBorder="0" applyAlignment="0" applyProtection="0"/>
  </cellStyleXfs>
  <cellXfs count="78">
    <xf numFmtId="0" fontId="0" fillId="0" borderId="0" xfId="0"/>
    <xf numFmtId="0" fontId="0" fillId="0" borderId="0" xfId="0" applyAlignment="1">
      <alignment horizontal="center"/>
    </xf>
    <xf numFmtId="6" fontId="0" fillId="0" borderId="0" xfId="0" applyNumberFormat="1"/>
    <xf numFmtId="5" fontId="0" fillId="0" borderId="0" xfId="0" applyNumberFormat="1"/>
    <xf numFmtId="0" fontId="0" fillId="0" borderId="2" xfId="0" applyBorder="1"/>
    <xf numFmtId="0" fontId="0" fillId="0" borderId="3" xfId="0" applyBorder="1"/>
    <xf numFmtId="164" fontId="0" fillId="0" borderId="0" xfId="0" applyNumberFormat="1"/>
    <xf numFmtId="165" fontId="0" fillId="0" borderId="0" xfId="0" applyNumberFormat="1"/>
    <xf numFmtId="4" fontId="0" fillId="0" borderId="0" xfId="0" applyNumberFormat="1"/>
    <xf numFmtId="0" fontId="7" fillId="0" borderId="0" xfId="0" applyFont="1"/>
    <xf numFmtId="0" fontId="8" fillId="0" borderId="0" xfId="0" applyFont="1"/>
    <xf numFmtId="164" fontId="9" fillId="0" borderId="0" xfId="0" applyNumberFormat="1" applyFont="1"/>
    <xf numFmtId="3" fontId="0" fillId="0" borderId="0" xfId="0" applyNumberFormat="1"/>
    <xf numFmtId="166" fontId="0" fillId="0" borderId="0" xfId="0" applyNumberFormat="1"/>
    <xf numFmtId="164" fontId="10" fillId="0" borderId="0" xfId="0" applyNumberFormat="1" applyFont="1"/>
    <xf numFmtId="164" fontId="11" fillId="0" borderId="0" xfId="0" applyNumberFormat="1" applyFont="1"/>
    <xf numFmtId="0" fontId="0" fillId="0" borderId="0" xfId="0" applyAlignment="1">
      <alignment wrapText="1"/>
    </xf>
    <xf numFmtId="6" fontId="0" fillId="0" borderId="0" xfId="0" applyNumberFormat="1" applyAlignment="1">
      <alignment wrapText="1"/>
    </xf>
    <xf numFmtId="0" fontId="0" fillId="0" borderId="0" xfId="0"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wrapText="1"/>
    </xf>
    <xf numFmtId="167" fontId="0" fillId="0" borderId="0" xfId="0" applyNumberFormat="1" applyAlignment="1">
      <alignment horizontal="center" vertical="center"/>
    </xf>
    <xf numFmtId="0" fontId="12" fillId="0" borderId="0" xfId="0" applyFont="1"/>
    <xf numFmtId="167" fontId="0" fillId="2" borderId="0" xfId="0" applyNumberFormat="1" applyFill="1" applyAlignment="1">
      <alignment horizontal="center" vertical="center"/>
    </xf>
    <xf numFmtId="0" fontId="0" fillId="0" borderId="0" xfId="0" applyAlignment="1">
      <alignment horizontal="center" vertical="top"/>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0" fontId="7" fillId="2" borderId="4" xfId="0" applyFont="1" applyFill="1" applyBorder="1" applyAlignment="1">
      <alignment horizontal="center" vertical="center"/>
    </xf>
    <xf numFmtId="167" fontId="0" fillId="0" borderId="5" xfId="0" applyNumberFormat="1" applyBorder="1" applyAlignment="1">
      <alignment horizontal="center" vertical="center"/>
    </xf>
    <xf numFmtId="167" fontId="0" fillId="0" borderId="5" xfId="0" applyNumberFormat="1" applyBorder="1" applyAlignment="1">
      <alignment horizontal="center" vertical="center" wrapText="1"/>
    </xf>
    <xf numFmtId="167" fontId="0" fillId="2" borderId="5" xfId="0" applyNumberFormat="1" applyFill="1" applyBorder="1" applyAlignment="1">
      <alignment horizontal="center" vertical="center"/>
    </xf>
    <xf numFmtId="0" fontId="0" fillId="0" borderId="0" xfId="0" applyAlignment="1">
      <alignment horizontal="center" vertical="top" wrapText="1"/>
    </xf>
    <xf numFmtId="167" fontId="0" fillId="0" borderId="0" xfId="0" applyNumberFormat="1" applyAlignment="1">
      <alignment horizontal="left" vertical="top" wrapText="1"/>
    </xf>
    <xf numFmtId="168" fontId="0" fillId="0" borderId="0" xfId="0" applyNumberFormat="1"/>
    <xf numFmtId="167" fontId="0" fillId="0" borderId="0" xfId="0" applyNumberFormat="1" applyAlignment="1">
      <alignment horizontal="center"/>
    </xf>
    <xf numFmtId="164" fontId="0" fillId="0" borderId="0" xfId="0" applyNumberFormat="1" applyAlignment="1">
      <alignment horizontal="center" vertical="center"/>
    </xf>
    <xf numFmtId="0" fontId="0" fillId="0" borderId="0" xfId="0"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vertical="top" wrapText="1"/>
    </xf>
    <xf numFmtId="0" fontId="7" fillId="3" borderId="0" xfId="0" applyFont="1" applyFill="1" applyAlignment="1">
      <alignment horizontal="center" vertical="center"/>
    </xf>
    <xf numFmtId="0" fontId="7" fillId="3" borderId="0" xfId="0" applyFont="1" applyFill="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2" fillId="0" borderId="0" xfId="0" applyFont="1" applyAlignment="1">
      <alignment vertical="top"/>
    </xf>
    <xf numFmtId="6" fontId="12" fillId="0" borderId="0" xfId="0" applyNumberFormat="1" applyFont="1" applyAlignment="1">
      <alignment horizontal="left" vertical="top" wrapText="1"/>
    </xf>
    <xf numFmtId="0" fontId="1" fillId="0" borderId="0" xfId="0" applyFont="1" applyAlignment="1">
      <alignment horizontal="left" vertical="top"/>
    </xf>
    <xf numFmtId="167" fontId="0" fillId="0" borderId="0" xfId="0" applyNumberFormat="1"/>
    <xf numFmtId="167" fontId="0" fillId="0" borderId="0" xfId="0" applyNumberFormat="1" applyAlignment="1">
      <alignment horizontal="center" vertical="top" wrapText="1"/>
    </xf>
    <xf numFmtId="164" fontId="0" fillId="4" borderId="0" xfId="0" applyNumberFormat="1" applyFill="1"/>
    <xf numFmtId="0" fontId="0" fillId="4" borderId="0" xfId="0" applyFill="1"/>
    <xf numFmtId="165" fontId="0" fillId="4" borderId="0" xfId="0" applyNumberFormat="1" applyFill="1"/>
    <xf numFmtId="0" fontId="0" fillId="4" borderId="0" xfId="0" applyFill="1" applyAlignment="1">
      <alignment wrapText="1"/>
    </xf>
    <xf numFmtId="10" fontId="0" fillId="4" borderId="0" xfId="78" applyNumberFormat="1" applyFont="1" applyFill="1"/>
    <xf numFmtId="44" fontId="0" fillId="4" borderId="0" xfId="77" applyFont="1" applyFill="1"/>
    <xf numFmtId="37" fontId="0" fillId="0" borderId="0" xfId="0" applyNumberFormat="1" applyAlignment="1">
      <alignment horizontal="right" vertical="center"/>
    </xf>
    <xf numFmtId="0" fontId="0" fillId="3" borderId="0" xfId="0" applyFill="1"/>
    <xf numFmtId="6" fontId="0" fillId="3" borderId="0" xfId="0" applyNumberFormat="1" applyFill="1"/>
    <xf numFmtId="164" fontId="0" fillId="3" borderId="0" xfId="0" applyNumberFormat="1" applyFill="1"/>
    <xf numFmtId="0" fontId="0" fillId="0" borderId="5" xfId="0" applyBorder="1" applyAlignment="1">
      <alignment horizontal="right" vertical="center"/>
    </xf>
    <xf numFmtId="1" fontId="0" fillId="0" borderId="0" xfId="0" applyNumberFormat="1" applyAlignment="1">
      <alignment vertical="center"/>
    </xf>
    <xf numFmtId="0" fontId="0" fillId="0" borderId="5" xfId="0" applyBorder="1" applyAlignment="1">
      <alignment vertical="center"/>
    </xf>
    <xf numFmtId="10" fontId="0" fillId="0" borderId="0" xfId="0" applyNumberFormat="1" applyAlignment="1">
      <alignment horizontal="center"/>
    </xf>
    <xf numFmtId="0" fontId="0" fillId="0" borderId="0" xfId="0" applyAlignment="1">
      <alignment horizontal="left" vertical="top"/>
    </xf>
    <xf numFmtId="0" fontId="7" fillId="0" borderId="0" xfId="0" applyFont="1" applyAlignment="1">
      <alignment horizontal="center" vertical="center" wrapText="1"/>
    </xf>
    <xf numFmtId="0" fontId="13" fillId="2" borderId="0" xfId="0" applyFont="1" applyFill="1" applyAlignment="1">
      <alignment horizontal="left" vertical="top" wrapText="1"/>
    </xf>
    <xf numFmtId="0" fontId="7" fillId="0" borderId="0" xfId="0" applyFont="1" applyAlignment="1">
      <alignment horizontal="left" vertical="top" wrapText="1"/>
    </xf>
    <xf numFmtId="0" fontId="1" fillId="0" borderId="0" xfId="0" applyFont="1" applyAlignment="1">
      <alignment horizontal="left" vertical="top"/>
    </xf>
    <xf numFmtId="0" fontId="0" fillId="0" borderId="0" xfId="0" applyAlignment="1">
      <alignment horizontal="center" vertical="top" wrapText="1"/>
    </xf>
    <xf numFmtId="0" fontId="14" fillId="0" borderId="0" xfId="76" applyFont="1" applyAlignment="1">
      <alignment horizontal="center"/>
    </xf>
    <xf numFmtId="0" fontId="12" fillId="0" borderId="0" xfId="0" applyFont="1" applyAlignment="1">
      <alignment horizontal="left" vertical="top" wrapText="1"/>
    </xf>
    <xf numFmtId="6" fontId="12" fillId="0" borderId="0" xfId="0" applyNumberFormat="1" applyFont="1" applyAlignment="1">
      <alignment horizontal="left" vertical="top" wrapText="1"/>
    </xf>
    <xf numFmtId="6" fontId="8" fillId="0" borderId="0" xfId="0" applyNumberFormat="1" applyFont="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center" vertical="center"/>
    </xf>
    <xf numFmtId="170" fontId="0" fillId="0" borderId="0" xfId="0" applyNumberFormat="1"/>
  </cellXfs>
  <cellStyles count="79">
    <cellStyle name="Currency" xfId="77" builtinId="4"/>
    <cellStyle name="Followed Hyperlink" xfId="75" builtinId="9" hidden="1"/>
    <cellStyle name="Followed Hyperlink" xfId="73" builtinId="9" hidden="1"/>
    <cellStyle name="Followed Hyperlink" xfId="69" builtinId="9" hidden="1"/>
    <cellStyle name="Followed Hyperlink" xfId="71" builtinId="9" hidden="1"/>
    <cellStyle name="Followed Hyperlink" xfId="47" builtinId="9" hidden="1"/>
    <cellStyle name="Followed Hyperlink" xfId="39" builtinId="9" hidden="1"/>
    <cellStyle name="Followed Hyperlink" xfId="23" builtinId="9" hidden="1"/>
    <cellStyle name="Followed Hyperlink" xfId="41" builtinId="9" hidden="1"/>
    <cellStyle name="Followed Hyperlink" xfId="45" builtinId="9" hidden="1"/>
    <cellStyle name="Followed Hyperlink" xfId="67" builtinId="9" hidden="1"/>
    <cellStyle name="Followed Hyperlink" xfId="53" builtinId="9" hidden="1"/>
    <cellStyle name="Followed Hyperlink" xfId="59" builtinId="9" hidden="1"/>
    <cellStyle name="Followed Hyperlink" xfId="37" builtinId="9" hidden="1"/>
    <cellStyle name="Followed Hyperlink" xfId="61" builtinId="9" hidden="1"/>
    <cellStyle name="Followed Hyperlink" xfId="43" builtinId="9" hidden="1"/>
    <cellStyle name="Followed Hyperlink" xfId="63" builtinId="9" hidden="1"/>
    <cellStyle name="Followed Hyperlink" xfId="15" builtinId="9" hidden="1"/>
    <cellStyle name="Followed Hyperlink" xfId="31" builtinId="9" hidden="1"/>
    <cellStyle name="Followed Hyperlink" xfId="33" builtinId="9" hidden="1"/>
    <cellStyle name="Followed Hyperlink" xfId="13" builtinId="9" hidden="1"/>
    <cellStyle name="Followed Hyperlink" xfId="57" builtinId="9" hidden="1"/>
    <cellStyle name="Followed Hyperlink" xfId="17" builtinId="9" hidden="1"/>
    <cellStyle name="Followed Hyperlink" xfId="21" builtinId="9" hidden="1"/>
    <cellStyle name="Followed Hyperlink" xfId="65" builtinId="9" hidden="1"/>
    <cellStyle name="Followed Hyperlink" xfId="19" builtinId="9" hidden="1"/>
    <cellStyle name="Followed Hyperlink" xfId="27" builtinId="9" hidden="1"/>
    <cellStyle name="Followed Hyperlink" xfId="35" builtinId="9" hidden="1"/>
    <cellStyle name="Followed Hyperlink" xfId="49" builtinId="9" hidden="1"/>
    <cellStyle name="Followed Hyperlink" xfId="51" builtinId="9" hidden="1"/>
    <cellStyle name="Followed Hyperlink" xfId="25" builtinId="9" hidden="1"/>
    <cellStyle name="Followed Hyperlink" xfId="29" builtinId="9" hidden="1"/>
    <cellStyle name="Followed Hyperlink" xfId="11" builtinId="9" hidden="1"/>
    <cellStyle name="Followed Hyperlink" xfId="55" builtinId="9" hidden="1"/>
    <cellStyle name="Followed Hyperlink" xfId="3" builtinId="9" hidden="1"/>
    <cellStyle name="Followed Hyperlink" xfId="9" builtinId="9" hidden="1"/>
    <cellStyle name="Followed Hyperlink" xfId="5" builtinId="9" hidden="1"/>
    <cellStyle name="Followed Hyperlink" xfId="7" builtinId="9" hidden="1"/>
    <cellStyle name="Heading 1" xfId="1" builtinId="16" customBuiltin="1"/>
    <cellStyle name="Hyperlink" xfId="68" builtinId="8" hidden="1"/>
    <cellStyle name="Hyperlink" xfId="60" builtinId="8" hidden="1"/>
    <cellStyle name="Hyperlink" xfId="70" builtinId="8" hidden="1"/>
    <cellStyle name="Hyperlink" xfId="38" builtinId="8" hidden="1"/>
    <cellStyle name="Hyperlink" xfId="26" builtinId="8" hidden="1"/>
    <cellStyle name="Hyperlink" xfId="62" builtinId="8" hidden="1"/>
    <cellStyle name="Hyperlink" xfId="54" builtinId="8" hidden="1"/>
    <cellStyle name="Hyperlink" xfId="34" builtinId="8" hidden="1"/>
    <cellStyle name="Hyperlink" xfId="12" builtinId="8" hidden="1"/>
    <cellStyle name="Hyperlink" xfId="74" builtinId="8" hidden="1"/>
    <cellStyle name="Hyperlink" xfId="72" builtinId="8" hidden="1"/>
    <cellStyle name="Hyperlink" xfId="66" builtinId="8" hidden="1"/>
    <cellStyle name="Hyperlink" xfId="8" builtinId="8" hidden="1"/>
    <cellStyle name="Hyperlink" xfId="50" builtinId="8" hidden="1"/>
    <cellStyle name="Hyperlink" xfId="64" builtinId="8" hidden="1"/>
    <cellStyle name="Hyperlink" xfId="56" builtinId="8" hidden="1"/>
    <cellStyle name="Hyperlink" xfId="40" builtinId="8" hidden="1"/>
    <cellStyle name="Hyperlink" xfId="52" builtinId="8" hidden="1"/>
    <cellStyle name="Hyperlink" xfId="18" builtinId="8" hidden="1"/>
    <cellStyle name="Hyperlink" xfId="48" builtinId="8" hidden="1"/>
    <cellStyle name="Hyperlink" xfId="30" builtinId="8" hidden="1"/>
    <cellStyle name="Hyperlink" xfId="32" builtinId="8" hidden="1"/>
    <cellStyle name="Hyperlink" xfId="36" builtinId="8" hidden="1"/>
    <cellStyle name="Hyperlink" xfId="44" builtinId="8" hidden="1"/>
    <cellStyle name="Hyperlink" xfId="46" builtinId="8" hidden="1"/>
    <cellStyle name="Hyperlink" xfId="58" builtinId="8" hidden="1"/>
    <cellStyle name="Hyperlink" xfId="14" builtinId="8" hidden="1"/>
    <cellStyle name="Hyperlink" xfId="10" builtinId="8" hidden="1"/>
    <cellStyle name="Hyperlink" xfId="2" builtinId="8" hidden="1"/>
    <cellStyle name="Hyperlink" xfId="42" builtinId="8" hidden="1"/>
    <cellStyle name="Hyperlink" xfId="22" builtinId="8" hidden="1"/>
    <cellStyle name="Hyperlink" xfId="4" builtinId="8" hidden="1"/>
    <cellStyle name="Hyperlink" xfId="16" builtinId="8" hidden="1"/>
    <cellStyle name="Hyperlink" xfId="24" builtinId="8" hidden="1"/>
    <cellStyle name="Hyperlink" xfId="28" builtinId="8" hidden="1"/>
    <cellStyle name="Hyperlink" xfId="6" builtinId="8" hidden="1"/>
    <cellStyle name="Hyperlink" xfId="20" builtinId="8" hidden="1"/>
    <cellStyle name="Hyperlink" xfId="76" builtinId="8"/>
    <cellStyle name="Normal" xfId="0" builtinId="0" customBuiltin="1"/>
    <cellStyle name="Percent" xfId="78" builtinId="5"/>
  </cellStyles>
  <dxfs count="42">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numFmt numFmtId="9" formatCode="&quot;$&quot;#,##0_);\(&quot;$&quot;#,##0\)"/>
    </dxf>
    <dxf>
      <border>
        <top style="thin">
          <color theme="8" tint="0.79998168889431442"/>
        </top>
        <bottom style="thin">
          <color theme="8" tint="0.79998168889431442"/>
        </bottom>
      </border>
    </dxf>
    <dxf>
      <border>
        <top style="thin">
          <color theme="8" tint="0.79998168889431442"/>
        </top>
        <bottom style="thin">
          <color theme="8" tint="0.79998168889431442"/>
        </bottom>
      </border>
    </dxf>
    <dxf>
      <fill>
        <patternFill patternType="solid">
          <fgColor theme="4" tint="0.59996337778862885"/>
          <bgColor theme="4" tint="0.59996337778862885"/>
        </patternFill>
      </fill>
      <border>
        <bottom style="thin">
          <color theme="8"/>
        </bottom>
      </border>
    </dxf>
    <dxf>
      <font>
        <color theme="0"/>
      </font>
      <fill>
        <patternFill patternType="solid">
          <fgColor theme="4"/>
          <bgColor theme="4"/>
        </patternFill>
      </fill>
      <border>
        <bottom style="thin">
          <color theme="8" tint="0.79998168889431442"/>
        </bottom>
        <horizontal style="thin">
          <color theme="8" tint="0.39997558519241921"/>
        </horizontal>
      </border>
    </dxf>
    <dxf>
      <border>
        <bottom style="thin">
          <color theme="8" tint="0.59999389629810485"/>
        </bottom>
      </border>
    </dxf>
    <dxf>
      <font>
        <b/>
        <color theme="1"/>
      </font>
      <fill>
        <patternFill patternType="solid">
          <fgColor theme="0" tint="-0.14999847407452621"/>
          <bgColor theme="0" tint="-0.14999847407452621"/>
        </patternFill>
      </fill>
    </dxf>
    <dxf>
      <font>
        <b/>
        <color theme="0"/>
      </font>
      <fill>
        <patternFill patternType="solid">
          <fgColor theme="4" tint="0.59996337778862885"/>
          <bgColor theme="4" tint="0.59996337778862885"/>
        </patternFill>
      </fill>
    </dxf>
    <dxf>
      <font>
        <b/>
        <color theme="0"/>
      </font>
    </dxf>
    <dxf>
      <font>
        <color theme="0"/>
      </font>
      <fill>
        <patternFill>
          <fgColor theme="4" tint="0.39994506668294322"/>
          <bgColor theme="4" tint="0.39994506668294322"/>
        </patternFill>
      </fill>
      <border>
        <left/>
        <right/>
      </border>
    </dxf>
    <dxf>
      <fill>
        <patternFill>
          <fgColor theme="4" tint="0.59996337778862885"/>
          <bgColor theme="4" tint="0.59996337778862885"/>
        </patternFill>
      </fill>
      <border>
        <top style="thin">
          <color theme="8" tint="-0.249977111117893"/>
        </top>
        <bottom style="thin">
          <color theme="8" tint="-0.249977111117893"/>
        </bottom>
        <horizontal style="thin">
          <color theme="8" tint="-0.249977111117893"/>
        </horizontal>
      </border>
    </dxf>
    <dxf>
      <font>
        <b/>
        <i val="0"/>
        <color theme="0"/>
      </font>
      <border>
        <top style="double">
          <color theme="3"/>
        </top>
      </border>
    </dxf>
    <dxf>
      <font>
        <color theme="0"/>
      </font>
      <fill>
        <patternFill patternType="solid">
          <fgColor theme="4" tint="-0.24994659260841701"/>
          <bgColor theme="4" tint="-0.24994659260841701"/>
        </patternFill>
      </fill>
      <border>
        <horizontal style="thin">
          <color theme="8" tint="-0.249977111117893"/>
        </horizontal>
      </border>
    </dxf>
    <dxf>
      <font>
        <color theme="0"/>
      </font>
      <fill>
        <patternFill>
          <fgColor theme="4" tint="0.39994506668294322"/>
          <bgColor theme="4" tint="0.39994506668294322"/>
        </patternFill>
      </fill>
      <border>
        <horizontal style="thin">
          <color theme="8" tint="0.79998168889431442"/>
        </horizontal>
      </border>
    </dxf>
    <dxf>
      <fill>
        <patternFill patternType="solid">
          <fgColor theme="7" tint="0.59999389629810485"/>
          <bgColor theme="7" tint="0.59999389629810485"/>
        </patternFill>
      </fill>
    </dxf>
    <dxf>
      <fill>
        <patternFill patternType="solid">
          <fgColor theme="5" tint="0.39994506668294322"/>
          <bgColor theme="5" tint="0.39994506668294322"/>
        </patternFill>
      </fill>
    </dxf>
    <dxf>
      <font>
        <b/>
        <color theme="1"/>
      </font>
    </dxf>
    <dxf>
      <font>
        <b/>
        <color theme="1"/>
      </font>
    </dxf>
    <dxf>
      <font>
        <b/>
        <color theme="1"/>
      </font>
      <border>
        <top style="medium">
          <color theme="7"/>
        </top>
      </border>
    </dxf>
    <dxf>
      <font>
        <b/>
        <i val="0"/>
        <color theme="0"/>
      </font>
      <fill>
        <patternFill>
          <fgColor theme="5"/>
          <bgColor theme="5"/>
        </patternFill>
      </fill>
    </dxf>
    <dxf>
      <font>
        <color theme="0"/>
      </font>
      <fill>
        <patternFill patternType="solid">
          <fgColor theme="5" tint="0.59996337778862885"/>
          <bgColor theme="5" tint="0.59996337778862885"/>
        </patternFill>
      </fill>
      <border>
        <left style="thin">
          <color theme="7" tint="0.39997558519241921"/>
        </left>
        <right style="thin">
          <color theme="7" tint="0.39997558519241921"/>
        </right>
        <top style="thin">
          <color theme="7" tint="0.39997558519241921"/>
        </top>
        <bottom style="thin">
          <color theme="7" tint="0.39997558519241921"/>
        </bottom>
        <vertical style="thin">
          <color theme="7" tint="0.39997558519241921"/>
        </vertical>
        <horizontal style="thin">
          <color theme="7" tint="0.39997558519241921"/>
        </horizontal>
      </border>
    </dxf>
    <dxf>
      <fill>
        <patternFill patternType="solid">
          <fgColor theme="4"/>
          <bgColor theme="4"/>
        </patternFill>
      </fill>
    </dxf>
    <dxf>
      <font>
        <b/>
        <color theme="0"/>
      </font>
      <fill>
        <patternFill patternType="solid">
          <fgColor theme="4"/>
          <bgColor theme="4"/>
        </patternFill>
      </fill>
    </dxf>
    <dxf>
      <font>
        <b/>
        <color theme="0"/>
      </font>
      <fill>
        <patternFill patternType="solid">
          <fgColor theme="4"/>
          <bgColor theme="4"/>
        </patternFill>
      </fill>
    </dxf>
    <dxf>
      <font>
        <b/>
        <color theme="0"/>
      </font>
      <fill>
        <patternFill patternType="solid">
          <fgColor theme="4"/>
          <bgColor theme="4"/>
        </patternFill>
      </fill>
      <border>
        <top style="thick">
          <color theme="0"/>
        </top>
      </border>
    </dxf>
    <dxf>
      <font>
        <b/>
        <color theme="0"/>
      </font>
      <fill>
        <patternFill patternType="solid">
          <fgColor theme="4"/>
          <bgColor theme="4"/>
        </patternFill>
      </fill>
      <border>
        <bottom style="thick">
          <color theme="0"/>
        </bottom>
      </border>
    </dxf>
    <dxf>
      <font>
        <color theme="0"/>
      </font>
      <fill>
        <patternFill patternType="solid">
          <fgColor theme="4" tint="0.39994506668294322"/>
          <bgColor theme="4" tint="0.39994506668294322"/>
        </patternFill>
      </fill>
      <border>
        <vertical style="thin">
          <color theme="0"/>
        </vertical>
        <horizontal style="thin">
          <color theme="0"/>
        </horizontal>
      </border>
    </dxf>
    <dxf>
      <fill>
        <patternFill patternType="solid">
          <fgColor theme="4" tint="0.39994506668294322"/>
          <bgColor theme="4" tint="0.39994506668294322"/>
        </patternFill>
      </fill>
    </dxf>
    <dxf>
      <font>
        <b/>
        <color theme="0"/>
      </font>
      <fill>
        <patternFill patternType="solid">
          <fgColor theme="4"/>
          <bgColor theme="4"/>
        </patternFill>
      </fill>
    </dxf>
    <dxf>
      <font>
        <b/>
        <color theme="0"/>
      </font>
      <fill>
        <patternFill patternType="solid">
          <fgColor theme="4"/>
          <bgColor theme="4"/>
        </patternFill>
      </fill>
    </dxf>
    <dxf>
      <font>
        <b/>
        <color theme="0"/>
      </font>
      <fill>
        <patternFill patternType="solid">
          <fgColor theme="4"/>
          <bgColor theme="4"/>
        </patternFill>
      </fill>
      <border>
        <top style="thick">
          <color theme="0"/>
        </top>
      </border>
    </dxf>
    <dxf>
      <font>
        <b/>
        <color theme="0"/>
      </font>
      <fill>
        <patternFill patternType="solid">
          <fgColor theme="4"/>
          <bgColor theme="4"/>
        </patternFill>
      </fill>
      <border>
        <bottom style="thick">
          <color theme="0"/>
        </bottom>
      </border>
    </dxf>
    <dxf>
      <font>
        <color theme="0"/>
      </font>
      <fill>
        <patternFill patternType="solid">
          <fgColor theme="4" tint="0.39994506668294322"/>
          <bgColor theme="4" tint="0.39994506668294322"/>
        </patternFill>
      </fill>
      <border>
        <vertical style="thin">
          <color theme="0"/>
        </vertical>
        <horizontal style="thin">
          <color theme="0"/>
        </horizontal>
      </border>
    </dxf>
  </dxfs>
  <tableStyles count="4" defaultTableStyle="TableStyleMedium2" defaultPivotStyle="PivotStyleLight16">
    <tableStyle name="Budget 1" pivot="0" count="6" xr9:uid="{00000000-0011-0000-FFFF-FFFF00000000}">
      <tableStyleElement type="wholeTable" dxfId="41"/>
      <tableStyleElement type="headerRow" dxfId="40"/>
      <tableStyleElement type="totalRow" dxfId="39"/>
      <tableStyleElement type="firstColumn" dxfId="38"/>
      <tableStyleElement type="lastColumn" dxfId="37"/>
      <tableStyleElement type="firstRowStripe" dxfId="36"/>
    </tableStyle>
    <tableStyle name="Budget 2" pivot="0" count="6" xr9:uid="{00000000-0011-0000-FFFF-FFFF01000000}">
      <tableStyleElement type="wholeTable" dxfId="35"/>
      <tableStyleElement type="headerRow" dxfId="34"/>
      <tableStyleElement type="totalRow" dxfId="33"/>
      <tableStyleElement type="firstColumn" dxfId="32"/>
      <tableStyleElement type="lastColumn" dxfId="31"/>
      <tableStyleElement type="firstRowStripe" dxfId="30"/>
    </tableStyle>
    <tableStyle name="Budget Table" pivot="0" count="7" xr9:uid="{00000000-0011-0000-FFFF-FFFF02000000}">
      <tableStyleElement type="wholeTable" dxfId="29"/>
      <tableStyleElement type="headerRow" dxfId="28"/>
      <tableStyleElement type="totalRow" dxfId="27"/>
      <tableStyleElement type="firstColumn" dxfId="26"/>
      <tableStyleElement type="lastColumn" dxfId="25"/>
      <tableStyleElement type="firstRowStripe" dxfId="24"/>
      <tableStyleElement type="firstColumnStripe" dxfId="23"/>
    </tableStyle>
    <tableStyle name="BudgetReportPivot" table="0" count="13" xr9:uid="{00000000-0011-0000-FFFF-FFFF03000000}">
      <tableStyleElement type="wholeTable" dxfId="22"/>
      <tableStyleElement type="headerRow" dxfId="21"/>
      <tableStyleElement type="totalRow" dxfId="20"/>
      <tableStyleElement type="firstRowStripe" dxfId="19"/>
      <tableStyleElement type="firstColumnStripe" dxfId="18"/>
      <tableStyleElement type="firstHeaderCell" dxfId="17"/>
      <tableStyleElement type="firstSubtotalRow" dxfId="16"/>
      <tableStyleElement type="secondSubtotalRow" dxfId="15"/>
      <tableStyleElement type="firstColumnSubheading" dxfId="14"/>
      <tableStyleElement type="firstRowSubheading" dxfId="13"/>
      <tableStyleElement type="secondRowSubheading" dxfId="12"/>
      <tableStyleElement type="pageFieldLabels" dxfId="11"/>
      <tableStyleElement type="pageFieldValues" dxfId="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1582758</xdr:colOff>
      <xdr:row>8</xdr:row>
      <xdr:rowOff>25400</xdr:rowOff>
    </xdr:from>
    <xdr:to>
      <xdr:col>4</xdr:col>
      <xdr:colOff>673607</xdr:colOff>
      <xdr:row>9</xdr:row>
      <xdr:rowOff>21167</xdr:rowOff>
    </xdr:to>
    <xdr:sp macro="" textlink="">
      <xdr:nvSpPr>
        <xdr:cNvPr id="2" name="Arrow: Right 1">
          <a:extLst>
            <a:ext uri="{FF2B5EF4-FFF2-40B4-BE49-F238E27FC236}">
              <a16:creationId xmlns:a16="http://schemas.microsoft.com/office/drawing/2014/main" id="{6AC5927C-6D69-2A46-9150-11DB58C1F988}"/>
            </a:ext>
          </a:extLst>
        </xdr:cNvPr>
        <xdr:cNvSpPr/>
      </xdr:nvSpPr>
      <xdr:spPr>
        <a:xfrm>
          <a:off x="5202258" y="1549400"/>
          <a:ext cx="1956816" cy="18626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xpenseDetails" displayName="ExpenseDetails" ref="A1:H134" totalsRowShown="0">
  <autoFilter ref="A1:H134" xr:uid="{00000000-0009-0000-0100-000001000000}"/>
  <sortState xmlns:xlrd2="http://schemas.microsoft.com/office/spreadsheetml/2017/richdata2" ref="A2:F60">
    <sortCondition ref="A2:A60"/>
  </sortState>
  <tableColumns count="8">
    <tableColumn id="2" xr3:uid="{00000000-0010-0000-0000-000002000000}" name="Month"/>
    <tableColumn id="8" xr3:uid="{00000000-0010-0000-0000-000008000000}" name="Line Item"/>
    <tableColumn id="3" xr3:uid="{00000000-0010-0000-0000-000003000000}" name="Estimated" dataDxfId="9"/>
    <tableColumn id="4" xr3:uid="{00000000-0010-0000-0000-000004000000}" name="Actual" dataDxfId="8"/>
    <tableColumn id="5" xr3:uid="{00000000-0010-0000-0000-000005000000}" name="Variance" dataDxfId="7">
      <calculatedColumnFormula>ExpenseDetails[[#This Row],[Estimated]]-ExpenseDetails[[#This Row],[Actual]]</calculatedColumnFormula>
    </tableColumn>
    <tableColumn id="9" xr3:uid="{00000000-0010-0000-0000-000009000000}" name="Prior Year" dataDxfId="6"/>
    <tableColumn id="10" xr3:uid="{00000000-0010-0000-0000-00000A000000}" name="Prior Year Variance" dataDxfId="5">
      <calculatedColumnFormula>ExpenseDetails[[#This Row],[Prior Year]]-ExpenseDetails[[#This Row],[Actual]]</calculatedColumnFormula>
    </tableColumn>
    <tableColumn id="6" xr3:uid="{00000000-0010-0000-0000-000006000000}" name="Actual - Prior Overview">
      <calculatedColumnFormula>ExpenseDetails[[#This Row],[Prior Year Variance]]</calculatedColumnFormula>
    </tableColumn>
  </tableColumns>
  <tableStyleInfo name="TableStyleLight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IncomeDetails" displayName="IncomeDetails" ref="A1:H13" totalsRowShown="0">
  <autoFilter ref="A1:H13" xr:uid="{00000000-0009-0000-0100-000003000000}"/>
  <sortState xmlns:xlrd2="http://schemas.microsoft.com/office/spreadsheetml/2017/richdata2" ref="A2:F60">
    <sortCondition ref="A2:A60"/>
  </sortState>
  <tableColumns count="8">
    <tableColumn id="2" xr3:uid="{00000000-0010-0000-0100-000002000000}" name="Month"/>
    <tableColumn id="8" xr3:uid="{00000000-0010-0000-0100-000008000000}" name="Line Item"/>
    <tableColumn id="3" xr3:uid="{00000000-0010-0000-0100-000003000000}" name="Estimated" dataDxfId="4"/>
    <tableColumn id="4" xr3:uid="{00000000-0010-0000-0100-000004000000}" name="Actual" dataDxfId="3"/>
    <tableColumn id="5" xr3:uid="{00000000-0010-0000-0100-000005000000}" name="Variance" dataDxfId="2">
      <calculatedColumnFormula>IncomeDetails[[#This Row],[Actual]]-IncomeDetails[[#This Row],[Estimated]]</calculatedColumnFormula>
    </tableColumn>
    <tableColumn id="9" xr3:uid="{00000000-0010-0000-0100-000009000000}" name="Prior Year" dataDxfId="1"/>
    <tableColumn id="10" xr3:uid="{00000000-0010-0000-0100-00000A000000}" name="Prior Year Variance" dataDxfId="0">
      <calculatedColumnFormula>IncomeDetails[[#This Row],[Actual]]-IncomeDetails[[#This Row],[Prior Year]]</calculatedColumnFormula>
    </tableColumn>
    <tableColumn id="6" xr3:uid="{00000000-0010-0000-0100-000006000000}" name="Actual - Prior Overview">
      <calculatedColumnFormula>IncomeDetails[[#This Row],[Prior Year Variance]]</calculatedColumnFormula>
    </tableColumn>
  </tableColumns>
  <tableStyleInfo name="TableStyleLight12" showFirstColumn="0" showLastColumn="0" showRowStripes="1" showColumnStripes="0"/>
</table>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djacency">
  <a:themeElements>
    <a:clrScheme name="Adjacency">
      <a:dk1>
        <a:srgbClr val="2F2B20"/>
      </a:dk1>
      <a:lt1>
        <a:srgbClr val="FFFFFF"/>
      </a:lt1>
      <a:dk2>
        <a:srgbClr val="675E47"/>
      </a:dk2>
      <a:lt2>
        <a:srgbClr val="DFDCB7"/>
      </a:lt2>
      <a:accent1>
        <a:srgbClr val="A9A57C"/>
      </a:accent1>
      <a:accent2>
        <a:srgbClr val="9CBEBD"/>
      </a:accent2>
      <a:accent3>
        <a:srgbClr val="D2CB6C"/>
      </a:accent3>
      <a:accent4>
        <a:srgbClr val="95A39D"/>
      </a:accent4>
      <a:accent5>
        <a:srgbClr val="C89F5D"/>
      </a:accent5>
      <a:accent6>
        <a:srgbClr val="B1A089"/>
      </a:accent6>
      <a:hlink>
        <a:srgbClr val="D25814"/>
      </a:hlink>
      <a:folHlink>
        <a:srgbClr val="849A0A"/>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Adjacency">
      <a:fillStyleLst>
        <a:solidFill>
          <a:schemeClr val="phClr"/>
        </a:solidFill>
        <a:solidFill>
          <a:schemeClr val="phClr">
            <a:tint val="55000"/>
          </a:schemeClr>
        </a:solidFill>
        <a:solidFill>
          <a:schemeClr val="phClr"/>
        </a:solidFill>
      </a:fillStyleLst>
      <a:lnStyleLst>
        <a:ln w="12700"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outerShdw blurRad="50800" dist="25400" algn="bl" rotWithShape="0">
              <a:srgbClr val="000000">
                <a:alpha val="60000"/>
              </a:srgbClr>
            </a:outerShdw>
          </a:effectLst>
        </a:effectStyle>
        <a:effectStyle>
          <a:effectLst/>
          <a:scene3d>
            <a:camera prst="orthographicFront">
              <a:rot lat="0" lon="0" rev="0"/>
            </a:camera>
            <a:lightRig rig="brightRoom" dir="tl">
              <a:rot lat="0" lon="0" rev="1800000"/>
            </a:lightRig>
          </a:scene3d>
          <a:sp3d contourW="10160" prstMaterial="dkEdge">
            <a:bevelT w="38100" h="50800" prst="angle"/>
            <a:contourClr>
              <a:schemeClr val="phClr">
                <a:shade val="40000"/>
                <a:satMod val="150000"/>
              </a:schemeClr>
            </a:contourClr>
          </a:sp3d>
        </a:effectStyle>
      </a:effectStyleLst>
      <a:bgFillStyleLst>
        <a:solidFill>
          <a:schemeClr val="phClr"/>
        </a:solidFill>
        <a:gradFill rotWithShape="1">
          <a:gsLst>
            <a:gs pos="0">
              <a:schemeClr val="phClr">
                <a:tint val="90000"/>
              </a:schemeClr>
            </a:gs>
            <a:gs pos="75000">
              <a:schemeClr val="phClr">
                <a:shade val="100000"/>
                <a:satMod val="115000"/>
              </a:schemeClr>
            </a:gs>
            <a:gs pos="100000">
              <a:schemeClr val="phClr">
                <a:shade val="70000"/>
                <a:satMod val="130000"/>
              </a:schemeClr>
            </a:gs>
          </a:gsLst>
          <a:path path="circle">
            <a:fillToRect l="20000" t="50000" r="100000" b="50000"/>
          </a:path>
        </a:gradFill>
        <a:blipFill rotWithShape="1">
          <a:blip xmlns:r="http://schemas.openxmlformats.org/officeDocument/2006/relationships" r:embed="rId1">
            <a:duotone>
              <a:schemeClr val="phClr">
                <a:tint val="97000"/>
              </a:schemeClr>
              <a:schemeClr val="phClr">
                <a:shade val="96000"/>
              </a:schemeClr>
            </a:duotone>
          </a:blip>
          <a:tile tx="0" ty="0" sx="32000" sy="32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propertyrights.utah.gov/advisory-opinions/view-all-advisory-opinions/advisory-opinion-101/"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J36"/>
  <sheetViews>
    <sheetView tabSelected="1" topLeftCell="B1" workbookViewId="0">
      <selection activeCell="J7" sqref="J7"/>
    </sheetView>
  </sheetViews>
  <sheetFormatPr baseColWidth="10" defaultColWidth="10.83203125" defaultRowHeight="16" x14ac:dyDescent="0.2"/>
  <cols>
    <col min="1" max="1" width="13.1640625" bestFit="1" customWidth="1"/>
    <col min="2" max="2" width="33" customWidth="1"/>
    <col min="3" max="3" width="12.83203125" style="6" bestFit="1" customWidth="1"/>
    <col min="5" max="5" width="27.1640625" customWidth="1"/>
    <col min="6" max="6" width="13.83203125" style="6" customWidth="1"/>
    <col min="7" max="7" width="14.5" style="6" customWidth="1"/>
    <col min="9" max="9" width="27.6640625" customWidth="1"/>
    <col min="10" max="10" width="12.83203125" style="6" bestFit="1" customWidth="1"/>
  </cols>
  <sheetData>
    <row r="1" spans="1:10" x14ac:dyDescent="0.2">
      <c r="A1" s="9" t="s">
        <v>66</v>
      </c>
    </row>
    <row r="3" spans="1:10" x14ac:dyDescent="0.2">
      <c r="B3" s="9" t="s">
        <v>67</v>
      </c>
      <c r="E3" s="9" t="s">
        <v>141</v>
      </c>
      <c r="I3" t="s">
        <v>69</v>
      </c>
    </row>
    <row r="5" spans="1:10" x14ac:dyDescent="0.2">
      <c r="B5" s="10" t="s">
        <v>86</v>
      </c>
      <c r="F5" s="35" t="s">
        <v>142</v>
      </c>
      <c r="I5" t="s">
        <v>135</v>
      </c>
    </row>
    <row r="6" spans="1:10" x14ac:dyDescent="0.2">
      <c r="B6" t="s">
        <v>25</v>
      </c>
      <c r="C6" s="6">
        <f>(700*12)+(700*12)</f>
        <v>16800</v>
      </c>
      <c r="D6" s="61">
        <f>(C6/$C$17)</f>
        <v>0.50632911392405067</v>
      </c>
      <c r="E6" t="str">
        <f>('Fee Schedule'!B6)</f>
        <v>Water Usage Fees</v>
      </c>
      <c r="F6" s="6">
        <f>'Rate Calculator'!I25+'Rate Calculator'!I43+'Rate Calculator'!I61</f>
        <v>19815.923999999999</v>
      </c>
      <c r="G6" s="57" t="s">
        <v>312</v>
      </c>
      <c r="I6" t="s">
        <v>24</v>
      </c>
      <c r="J6" s="6">
        <f>C17+C22+C23+C24</f>
        <v>52680</v>
      </c>
    </row>
    <row r="7" spans="1:10" x14ac:dyDescent="0.2">
      <c r="B7" t="s">
        <v>26</v>
      </c>
      <c r="C7" s="6">
        <f>170*12</f>
        <v>2040</v>
      </c>
      <c r="D7" s="61">
        <f t="shared" ref="D7:D16" si="0">(C7/$C$17)</f>
        <v>6.148282097649186E-2</v>
      </c>
      <c r="E7" t="str">
        <f>('Fee Schedule'!B15)</f>
        <v>Fire Hydrant Fees</v>
      </c>
      <c r="F7" s="6">
        <f>'Fee Schedule'!E17</f>
        <v>1000</v>
      </c>
      <c r="I7" t="s">
        <v>68</v>
      </c>
      <c r="J7" s="6">
        <f>F28</f>
        <v>55815.923999999999</v>
      </c>
    </row>
    <row r="8" spans="1:10" x14ac:dyDescent="0.2">
      <c r="B8" t="s">
        <v>27</v>
      </c>
      <c r="C8" s="6">
        <v>100</v>
      </c>
      <c r="D8" s="61">
        <f t="shared" si="0"/>
        <v>3.0138637733574444E-3</v>
      </c>
      <c r="E8" t="str">
        <f>('Fee Schedule'!B23)</f>
        <v>Meter Fees(Proposed)</v>
      </c>
      <c r="F8" s="6">
        <f>('Rate Calculator'!E65)</f>
        <v>18000</v>
      </c>
    </row>
    <row r="9" spans="1:10" x14ac:dyDescent="0.2">
      <c r="B9" t="s">
        <v>28</v>
      </c>
      <c r="C9" s="6">
        <f>120*12</f>
        <v>1440</v>
      </c>
      <c r="D9" s="61">
        <f t="shared" si="0"/>
        <v>4.3399638336347197E-2</v>
      </c>
      <c r="E9" s="55" t="str">
        <f>('Fee Schedule'!B28)</f>
        <v>Connection Fees (Proposed)</v>
      </c>
      <c r="I9" t="s">
        <v>70</v>
      </c>
    </row>
    <row r="10" spans="1:10" x14ac:dyDescent="0.2">
      <c r="B10" t="s">
        <v>304</v>
      </c>
      <c r="C10" s="6">
        <v>5000</v>
      </c>
      <c r="D10" s="61">
        <f t="shared" si="0"/>
        <v>0.15069318866787221</v>
      </c>
      <c r="E10" t="str">
        <f>('Fee Schedule'!B42)</f>
        <v>Late Fees</v>
      </c>
      <c r="I10" t="s">
        <v>71</v>
      </c>
      <c r="J10" s="6">
        <f>J6-J7</f>
        <v>-3135.9239999999991</v>
      </c>
    </row>
    <row r="11" spans="1:10" x14ac:dyDescent="0.2">
      <c r="B11" t="s">
        <v>30</v>
      </c>
      <c r="C11" s="6">
        <v>500</v>
      </c>
      <c r="D11" s="61">
        <f t="shared" si="0"/>
        <v>1.5069318866787222E-2</v>
      </c>
      <c r="E11" t="str">
        <f>('Fee Schedule'!B48)</f>
        <v>Impact Fees</v>
      </c>
    </row>
    <row r="12" spans="1:10" x14ac:dyDescent="0.2">
      <c r="B12" t="s">
        <v>31</v>
      </c>
      <c r="C12" s="6">
        <v>300</v>
      </c>
      <c r="D12" s="61">
        <f t="shared" si="0"/>
        <v>9.0415913200723331E-3</v>
      </c>
      <c r="E12" s="56" t="str">
        <f>('Fee Schedule'!B53)</f>
        <v>Water Service Deposit</v>
      </c>
      <c r="F12" s="6">
        <f>'Fee Schedule'!E53</f>
        <v>5000</v>
      </c>
    </row>
    <row r="13" spans="1:10" x14ac:dyDescent="0.2">
      <c r="B13" t="s">
        <v>12</v>
      </c>
      <c r="C13" s="6">
        <v>3000</v>
      </c>
      <c r="D13" s="61">
        <f t="shared" si="0"/>
        <v>9.0415913200723327E-2</v>
      </c>
      <c r="E13" s="56" t="str">
        <f>('Fee Schedule'!B56)</f>
        <v>Water Banking Fee(Proposed)</v>
      </c>
      <c r="F13" s="14" t="str">
        <f>('Fee Schedule'!E56)</f>
        <v>-</v>
      </c>
      <c r="G13" s="14"/>
    </row>
    <row r="14" spans="1:10" x14ac:dyDescent="0.2">
      <c r="B14" t="s">
        <v>32</v>
      </c>
      <c r="C14" s="6">
        <v>0</v>
      </c>
      <c r="D14" s="61">
        <f t="shared" si="0"/>
        <v>0</v>
      </c>
      <c r="E14" s="55" t="s">
        <v>326</v>
      </c>
      <c r="F14" s="6">
        <f>('Fee Schedule'!E79)*2*12</f>
        <v>12000</v>
      </c>
      <c r="I14" t="s">
        <v>136</v>
      </c>
    </row>
    <row r="15" spans="1:10" x14ac:dyDescent="0.2">
      <c r="B15" t="s">
        <v>313</v>
      </c>
      <c r="C15" s="6">
        <v>0</v>
      </c>
      <c r="D15" s="61">
        <f t="shared" si="0"/>
        <v>0</v>
      </c>
      <c r="I15" t="s">
        <v>137</v>
      </c>
      <c r="J15" s="6">
        <f>C26</f>
        <v>311736.01151090371</v>
      </c>
    </row>
    <row r="16" spans="1:10" x14ac:dyDescent="0.2">
      <c r="B16" t="s">
        <v>62</v>
      </c>
      <c r="C16" s="11">
        <v>4000</v>
      </c>
      <c r="D16" s="61">
        <f t="shared" si="0"/>
        <v>0.12055455093429777</v>
      </c>
      <c r="I16" t="s">
        <v>145</v>
      </c>
      <c r="J16" s="6">
        <f>F9+F11</f>
        <v>0</v>
      </c>
    </row>
    <row r="17" spans="2:10" x14ac:dyDescent="0.2">
      <c r="B17" t="s">
        <v>87</v>
      </c>
      <c r="C17" s="6">
        <f>SUM(C6:C16)</f>
        <v>33180</v>
      </c>
    </row>
    <row r="18" spans="2:10" x14ac:dyDescent="0.2">
      <c r="I18" t="s">
        <v>70</v>
      </c>
    </row>
    <row r="19" spans="2:10" x14ac:dyDescent="0.2">
      <c r="I19" t="s">
        <v>71</v>
      </c>
      <c r="J19" s="6">
        <f>J15-J16</f>
        <v>311736.01151090371</v>
      </c>
    </row>
    <row r="20" spans="2:10" x14ac:dyDescent="0.2">
      <c r="E20">
        <f>12*1400</f>
        <v>16800</v>
      </c>
    </row>
    <row r="21" spans="2:10" x14ac:dyDescent="0.2">
      <c r="B21" s="9" t="s">
        <v>63</v>
      </c>
      <c r="I21" t="s">
        <v>146</v>
      </c>
      <c r="J21" s="6">
        <f>J10+J19</f>
        <v>308600.08751090372</v>
      </c>
    </row>
    <row r="22" spans="2:10" x14ac:dyDescent="0.2">
      <c r="B22" t="s">
        <v>334</v>
      </c>
      <c r="C22" s="6">
        <v>6500</v>
      </c>
    </row>
    <row r="23" spans="2:10" x14ac:dyDescent="0.2">
      <c r="B23" t="s">
        <v>333</v>
      </c>
      <c r="C23" s="6">
        <v>5000</v>
      </c>
      <c r="D23" s="55" t="s">
        <v>311</v>
      </c>
    </row>
    <row r="24" spans="2:10" x14ac:dyDescent="0.2">
      <c r="B24" t="s">
        <v>138</v>
      </c>
      <c r="C24" s="6">
        <v>8000</v>
      </c>
      <c r="I24" t="s">
        <v>72</v>
      </c>
    </row>
    <row r="25" spans="2:10" x14ac:dyDescent="0.2">
      <c r="B25" t="s">
        <v>61</v>
      </c>
      <c r="C25" s="15">
        <f>(ReserveFund!I25)</f>
        <v>298736.01151090371</v>
      </c>
      <c r="D25" s="55" t="s">
        <v>314</v>
      </c>
    </row>
    <row r="26" spans="2:10" x14ac:dyDescent="0.2">
      <c r="B26" t="s">
        <v>64</v>
      </c>
      <c r="C26" s="6">
        <f>SUM(C23:C25)</f>
        <v>311736.01151090371</v>
      </c>
      <c r="I26" t="s">
        <v>73</v>
      </c>
      <c r="J26" s="12">
        <f>'Rate Calculator'!C65</f>
        <v>6339808</v>
      </c>
    </row>
    <row r="27" spans="2:10" x14ac:dyDescent="0.2">
      <c r="I27" t="s">
        <v>74</v>
      </c>
      <c r="J27" s="8">
        <v>5</v>
      </c>
    </row>
    <row r="28" spans="2:10" x14ac:dyDescent="0.2">
      <c r="B28" s="9" t="s">
        <v>65</v>
      </c>
      <c r="C28" s="6">
        <f>C17+C26</f>
        <v>344916.01151090371</v>
      </c>
      <c r="E28" s="9" t="s">
        <v>68</v>
      </c>
      <c r="F28" s="6">
        <f>SUM(F6:F27)</f>
        <v>55815.923999999999</v>
      </c>
    </row>
    <row r="29" spans="2:10" x14ac:dyDescent="0.2">
      <c r="I29" t="s">
        <v>75</v>
      </c>
      <c r="J29" s="13">
        <f>J21/J26</f>
        <v>4.8676566784183958E-2</v>
      </c>
    </row>
    <row r="32" spans="2:10" x14ac:dyDescent="0.2">
      <c r="B32" t="s">
        <v>77</v>
      </c>
    </row>
    <row r="33" spans="2:5" x14ac:dyDescent="0.2">
      <c r="B33" t="s">
        <v>78</v>
      </c>
      <c r="C33" s="8">
        <v>9492.5</v>
      </c>
    </row>
    <row r="34" spans="2:5" x14ac:dyDescent="0.2">
      <c r="B34" t="s">
        <v>79</v>
      </c>
      <c r="C34" s="8">
        <f>'Rate Calculator'!C25</f>
        <v>5310600</v>
      </c>
      <c r="E34" s="6">
        <f>C17+C24-F28</f>
        <v>-14635.923999999999</v>
      </c>
    </row>
    <row r="35" spans="2:5" x14ac:dyDescent="0.2">
      <c r="B35" t="s">
        <v>80</v>
      </c>
      <c r="C35" s="6">
        <f>J29</f>
        <v>4.8676566784183958E-2</v>
      </c>
    </row>
    <row r="36" spans="2:5" x14ac:dyDescent="0.2">
      <c r="B36" t="s">
        <v>144</v>
      </c>
      <c r="C36" s="6">
        <f>C34*C35</f>
        <v>258501.77556408732</v>
      </c>
    </row>
  </sheetData>
  <pageMargins left="0.75" right="0.75" top="1" bottom="1" header="0.5" footer="0.5"/>
  <pageSetup paperSize="4" orientation="portrait" horizontalDpi="4000" verticalDpi="40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FAE2B-F645-F94E-B7FA-2CAA2EFDA465}">
  <sheetPr>
    <tabColor rgb="FFFFFF00"/>
    <pageSetUpPr fitToPage="1"/>
  </sheetPr>
  <dimension ref="B2:I88"/>
  <sheetViews>
    <sheetView topLeftCell="A44" zoomScaleNormal="150" zoomScaleSheetLayoutView="100" workbookViewId="0">
      <selection activeCell="B2" sqref="B2"/>
    </sheetView>
  </sheetViews>
  <sheetFormatPr baseColWidth="10" defaultColWidth="8.83203125" defaultRowHeight="16" x14ac:dyDescent="0.2"/>
  <cols>
    <col min="2" max="2" width="38" customWidth="1"/>
    <col min="3" max="3" width="23.1640625" customWidth="1"/>
    <col min="4" max="4" width="13.83203125" customWidth="1"/>
    <col min="5" max="5" width="14.6640625" customWidth="1"/>
    <col min="6" max="6" width="13.6640625" customWidth="1"/>
    <col min="7" max="7" width="14.6640625" customWidth="1"/>
    <col min="8" max="8" width="16.1640625" style="16" customWidth="1"/>
    <col min="9" max="9" width="11.5" customWidth="1"/>
  </cols>
  <sheetData>
    <row r="2" spans="2:9" x14ac:dyDescent="0.2">
      <c r="C2" s="22" t="s">
        <v>143</v>
      </c>
      <c r="D2" s="22"/>
      <c r="E2" s="22"/>
    </row>
    <row r="3" spans="2:9" x14ac:dyDescent="0.2">
      <c r="C3" s="22"/>
      <c r="D3" s="22"/>
      <c r="E3" s="22"/>
    </row>
    <row r="4" spans="2:9" ht="15" customHeight="1" x14ac:dyDescent="0.2">
      <c r="B4" s="65" t="s">
        <v>320</v>
      </c>
      <c r="C4" s="65"/>
      <c r="D4" s="65"/>
      <c r="E4" s="65"/>
    </row>
    <row r="5" spans="2:9" x14ac:dyDescent="0.2">
      <c r="B5" s="65"/>
      <c r="C5" s="65"/>
      <c r="D5" s="65"/>
      <c r="E5" s="65"/>
    </row>
    <row r="6" spans="2:9" ht="15" customHeight="1" x14ac:dyDescent="0.2">
      <c r="B6" s="65"/>
      <c r="C6" s="65"/>
      <c r="D6" s="65"/>
      <c r="E6" s="65"/>
    </row>
    <row r="7" spans="2:9" x14ac:dyDescent="0.2">
      <c r="B7" s="38"/>
      <c r="C7" s="38"/>
      <c r="D7" s="38"/>
    </row>
    <row r="8" spans="2:9" x14ac:dyDescent="0.2">
      <c r="B8" s="38"/>
      <c r="C8" s="38"/>
      <c r="D8" s="38"/>
    </row>
    <row r="9" spans="2:9" s="19" customFormat="1" x14ac:dyDescent="0.2">
      <c r="B9" s="62" t="s">
        <v>147</v>
      </c>
      <c r="C9" s="62"/>
      <c r="D9" s="38"/>
      <c r="F9" s="39">
        <f>'Fee Schedule'!E8</f>
        <v>2E-3</v>
      </c>
      <c r="G9" s="39">
        <f>'Fee Schedule'!E9</f>
        <v>4.4999999999999997E-3</v>
      </c>
      <c r="H9" s="40">
        <f>'Fee Schedule'!E10</f>
        <v>7.4999999999999997E-3</v>
      </c>
      <c r="I9" s="19">
        <f>AVERAGE(F9:H9)</f>
        <v>4.6666666666666662E-3</v>
      </c>
    </row>
    <row r="10" spans="2:9" x14ac:dyDescent="0.2">
      <c r="C10" s="19"/>
      <c r="D10" s="19"/>
      <c r="E10" s="19"/>
      <c r="F10" s="63" t="s">
        <v>296</v>
      </c>
      <c r="G10" s="63" t="s">
        <v>297</v>
      </c>
      <c r="H10" s="63" t="s">
        <v>112</v>
      </c>
      <c r="I10" s="64" t="s">
        <v>140</v>
      </c>
    </row>
    <row r="11" spans="2:9" x14ac:dyDescent="0.2">
      <c r="B11" s="9" t="s">
        <v>121</v>
      </c>
      <c r="C11" s="19"/>
      <c r="D11" s="19"/>
      <c r="E11" s="19"/>
      <c r="F11" s="63"/>
      <c r="G11" s="63"/>
      <c r="H11" s="63"/>
      <c r="I11" s="64"/>
    </row>
    <row r="12" spans="2:9" ht="18" thickBot="1" x14ac:dyDescent="0.25">
      <c r="B12" s="19">
        <v>2021</v>
      </c>
      <c r="C12" s="25" t="s">
        <v>95</v>
      </c>
      <c r="D12" s="25" t="s">
        <v>119</v>
      </c>
      <c r="E12" s="25" t="s">
        <v>118</v>
      </c>
      <c r="F12" s="25" t="s">
        <v>117</v>
      </c>
      <c r="G12" s="25" t="s">
        <v>103</v>
      </c>
      <c r="H12" s="26" t="s">
        <v>328</v>
      </c>
      <c r="I12" s="27" t="s">
        <v>96</v>
      </c>
    </row>
    <row r="13" spans="2:9" ht="17" thickTop="1" x14ac:dyDescent="0.2">
      <c r="B13" s="18" t="s">
        <v>114</v>
      </c>
      <c r="C13">
        <v>165700</v>
      </c>
      <c r="D13" s="21">
        <v>0</v>
      </c>
      <c r="E13" s="21">
        <f>'Fee Schedule'!$E$12</f>
        <v>500</v>
      </c>
      <c r="F13" s="21">
        <f>IF(C13&lt;=1,C13*$F$9,$B$87)</f>
        <v>0</v>
      </c>
      <c r="G13" s="21">
        <f>IF(C13&lt;=150000,0,IF(C13&lt;=300000,(C13-150000)*$G$9,IF(C13&gt;300000,$B$88,$B$88)))</f>
        <v>70.649999999999991</v>
      </c>
      <c r="H13" s="37">
        <f>IF(C13&gt;=300000,(C13-300000)*$H$9,0)</f>
        <v>0</v>
      </c>
      <c r="I13" s="23">
        <f>SUM(F13:H13)</f>
        <v>70.649999999999991</v>
      </c>
    </row>
    <row r="14" spans="2:9" x14ac:dyDescent="0.2">
      <c r="B14" s="18" t="s">
        <v>115</v>
      </c>
      <c r="C14">
        <v>150700</v>
      </c>
      <c r="D14" s="21"/>
      <c r="E14" s="21">
        <f>'Fee Schedule'!$E$12</f>
        <v>500</v>
      </c>
      <c r="F14" s="21">
        <f>IF(C14&lt;=1,C14*$F$9,$B$87)</f>
        <v>0</v>
      </c>
      <c r="G14" s="21">
        <f>IF(C14&lt;=150000,0,IF(C14&lt;=300000,(C14-150000)*$G$9,IF(C14&gt;300000,$B$88,$B$88)))</f>
        <v>3.15</v>
      </c>
      <c r="H14" s="37">
        <f t="shared" ref="H14:H24" si="0">IF(C14&gt;=300000,(C14-300000)*$H$9,0)</f>
        <v>0</v>
      </c>
      <c r="I14" s="23">
        <f>SUM(F14:H14)</f>
        <v>3.15</v>
      </c>
    </row>
    <row r="15" spans="2:9" x14ac:dyDescent="0.2">
      <c r="B15" s="18" t="s">
        <v>116</v>
      </c>
      <c r="C15">
        <v>141200</v>
      </c>
      <c r="D15" s="21"/>
      <c r="E15" s="21">
        <f>'Fee Schedule'!$E$12</f>
        <v>500</v>
      </c>
      <c r="F15" s="21">
        <f>IF(C15&lt;=1,C15*$F$9,$B$87)</f>
        <v>0</v>
      </c>
      <c r="G15" s="21">
        <f>IF(C15&lt;=150000,0,IF(C15&lt;=300000,(C15-150000)*$G$9,IF(C15&gt;300000,$B$88,$B$88)))</f>
        <v>0</v>
      </c>
      <c r="H15" s="37">
        <f t="shared" si="0"/>
        <v>0</v>
      </c>
      <c r="I15" s="23">
        <f>SUM(F15:H15)</f>
        <v>0</v>
      </c>
    </row>
    <row r="16" spans="2:9" x14ac:dyDescent="0.2">
      <c r="B16" s="18" t="s">
        <v>4</v>
      </c>
      <c r="C16">
        <v>401700</v>
      </c>
      <c r="E16" s="21">
        <f>'Fee Schedule'!$E$12</f>
        <v>500</v>
      </c>
      <c r="F16" s="21">
        <f>IF(C16&lt;=1,C16*$F$9,$B$87)</f>
        <v>0</v>
      </c>
      <c r="G16" s="21">
        <f>IF(C16&lt;=150000,0,IF(C16&lt;=300000,(C16-150000)*$G$9,IF(C16&gt;300000,$B$88,$B$88)))</f>
        <v>224.99999999999997</v>
      </c>
      <c r="H16" s="37">
        <f t="shared" si="0"/>
        <v>762.75</v>
      </c>
      <c r="I16" s="23">
        <f>SUM(F16:H16)</f>
        <v>987.75</v>
      </c>
    </row>
    <row r="17" spans="2:9" x14ac:dyDescent="0.2">
      <c r="B17" s="18" t="s">
        <v>15</v>
      </c>
      <c r="C17">
        <v>563800</v>
      </c>
      <c r="D17" s="18"/>
      <c r="E17" s="21">
        <f>'Fee Schedule'!$E$12</f>
        <v>500</v>
      </c>
      <c r="F17" s="21">
        <f>IF(C17&lt;=1,C17*$F$9,$B$87)</f>
        <v>0</v>
      </c>
      <c r="G17" s="21">
        <f>IF(C17&lt;=150000,0,IF(C17&lt;=300000,(C17-150000)*$G$9,IF(C17&gt;300000,$B$88,$B$88)))</f>
        <v>224.99999999999997</v>
      </c>
      <c r="H17" s="37">
        <f t="shared" si="0"/>
        <v>1978.5</v>
      </c>
      <c r="I17" s="23">
        <f>SUM(F17:H17)</f>
        <v>2203.5</v>
      </c>
    </row>
    <row r="18" spans="2:9" x14ac:dyDescent="0.2">
      <c r="B18" s="18" t="s">
        <v>16</v>
      </c>
      <c r="C18">
        <v>598800</v>
      </c>
      <c r="D18" s="18"/>
      <c r="E18" s="21">
        <f>'Fee Schedule'!$E$12</f>
        <v>500</v>
      </c>
      <c r="F18" s="21">
        <f t="shared" ref="F18:F23" si="1">IF(C18&lt;=1,C18*$F$9,$B$87)</f>
        <v>0</v>
      </c>
      <c r="G18" s="21">
        <f t="shared" ref="G18:G24" si="2">IF(C18&lt;=150000,0,IF(C18&lt;=300000,(C18-150000)*$G$9,IF(C18&gt;300000,$B$88,$B$88)))</f>
        <v>224.99999999999997</v>
      </c>
      <c r="H18" s="37">
        <f t="shared" si="0"/>
        <v>2241</v>
      </c>
      <c r="I18" s="23">
        <f t="shared" ref="I18:I23" si="3">SUM(F18:H18)</f>
        <v>2466</v>
      </c>
    </row>
    <row r="19" spans="2:9" x14ac:dyDescent="0.2">
      <c r="B19" s="18" t="s">
        <v>17</v>
      </c>
      <c r="C19">
        <v>562000</v>
      </c>
      <c r="D19" s="18"/>
      <c r="E19" s="21">
        <f>'Fee Schedule'!$E$12</f>
        <v>500</v>
      </c>
      <c r="F19" s="21">
        <f t="shared" si="1"/>
        <v>0</v>
      </c>
      <c r="G19" s="21">
        <f t="shared" si="2"/>
        <v>224.99999999999997</v>
      </c>
      <c r="H19" s="37">
        <f t="shared" si="0"/>
        <v>1965</v>
      </c>
      <c r="I19" s="23">
        <f t="shared" si="3"/>
        <v>2190</v>
      </c>
    </row>
    <row r="20" spans="2:9" x14ac:dyDescent="0.2">
      <c r="B20" s="18" t="s">
        <v>91</v>
      </c>
      <c r="C20">
        <v>609500</v>
      </c>
      <c r="D20" s="18"/>
      <c r="E20" s="21">
        <f>'Fee Schedule'!$E$12</f>
        <v>500</v>
      </c>
      <c r="F20" s="21">
        <f t="shared" si="1"/>
        <v>0</v>
      </c>
      <c r="G20" s="21">
        <f t="shared" si="2"/>
        <v>224.99999999999997</v>
      </c>
      <c r="H20" s="37">
        <f t="shared" si="0"/>
        <v>2321.25</v>
      </c>
      <c r="I20" s="23">
        <f t="shared" si="3"/>
        <v>2546.25</v>
      </c>
    </row>
    <row r="21" spans="2:9" x14ac:dyDescent="0.2">
      <c r="B21" s="18" t="s">
        <v>92</v>
      </c>
      <c r="C21">
        <v>544500</v>
      </c>
      <c r="D21" s="18"/>
      <c r="E21" s="21">
        <f>'Fee Schedule'!$E$12</f>
        <v>500</v>
      </c>
      <c r="F21" s="21">
        <f t="shared" si="1"/>
        <v>0</v>
      </c>
      <c r="G21" s="21">
        <f t="shared" si="2"/>
        <v>224.99999999999997</v>
      </c>
      <c r="H21" s="37">
        <f t="shared" si="0"/>
        <v>1833.75</v>
      </c>
      <c r="I21" s="23">
        <f t="shared" si="3"/>
        <v>2058.75</v>
      </c>
    </row>
    <row r="22" spans="2:9" x14ac:dyDescent="0.2">
      <c r="B22" s="18" t="s">
        <v>93</v>
      </c>
      <c r="C22" s="42">
        <v>437000</v>
      </c>
      <c r="D22" s="18"/>
      <c r="E22" s="21">
        <f>'Fee Schedule'!$E$12</f>
        <v>500</v>
      </c>
      <c r="F22" s="21">
        <f t="shared" si="1"/>
        <v>0</v>
      </c>
      <c r="G22" s="21">
        <f t="shared" si="2"/>
        <v>224.99999999999997</v>
      </c>
      <c r="H22" s="37">
        <f t="shared" si="0"/>
        <v>1027.5</v>
      </c>
      <c r="I22" s="23">
        <f t="shared" si="3"/>
        <v>1252.5</v>
      </c>
    </row>
    <row r="23" spans="2:9" x14ac:dyDescent="0.2">
      <c r="B23" s="18" t="s">
        <v>94</v>
      </c>
      <c r="C23" s="42">
        <v>539800</v>
      </c>
      <c r="D23" s="18"/>
      <c r="E23" s="21">
        <f>'Fee Schedule'!$E$12</f>
        <v>500</v>
      </c>
      <c r="F23" s="21">
        <f t="shared" si="1"/>
        <v>0</v>
      </c>
      <c r="G23" s="21">
        <f t="shared" si="2"/>
        <v>224.99999999999997</v>
      </c>
      <c r="H23" s="37">
        <f t="shared" si="0"/>
        <v>1798.5</v>
      </c>
      <c r="I23" s="23">
        <f t="shared" si="3"/>
        <v>2023.5</v>
      </c>
    </row>
    <row r="24" spans="2:9" x14ac:dyDescent="0.2">
      <c r="B24" s="18" t="s">
        <v>113</v>
      </c>
      <c r="C24" s="59">
        <v>595900</v>
      </c>
      <c r="D24" s="21"/>
      <c r="E24" s="21">
        <f>'Fee Schedule'!$E$12</f>
        <v>500</v>
      </c>
      <c r="F24" s="21">
        <f>IF(C24&lt;=1,C24*$F$9,$B$87)</f>
        <v>0</v>
      </c>
      <c r="G24" s="21">
        <f t="shared" si="2"/>
        <v>224.99999999999997</v>
      </c>
      <c r="H24" s="37">
        <f t="shared" si="0"/>
        <v>2219.25</v>
      </c>
      <c r="I24" s="23">
        <f>SUM(F24:H24)</f>
        <v>2444.25</v>
      </c>
    </row>
    <row r="25" spans="2:9" x14ac:dyDescent="0.2">
      <c r="C25" s="60">
        <f>SUM(C13:C24)</f>
        <v>5310600</v>
      </c>
      <c r="D25" s="28">
        <f>SUM(D13:D24)</f>
        <v>0</v>
      </c>
      <c r="E25" s="28">
        <f>SUM(E13:E24)</f>
        <v>6000</v>
      </c>
      <c r="F25" s="28">
        <f>SUM(F13:F24)</f>
        <v>0</v>
      </c>
      <c r="G25" s="28">
        <f>SUM(G13:G24)</f>
        <v>2098.7999999999997</v>
      </c>
      <c r="H25" s="29">
        <f>SUM(H16:H23)</f>
        <v>13928.25</v>
      </c>
      <c r="I25" s="30">
        <f>SUM(I13:I24)</f>
        <v>18246.3</v>
      </c>
    </row>
    <row r="26" spans="2:9" x14ac:dyDescent="0.2">
      <c r="C26">
        <f>5310600/12</f>
        <v>442550</v>
      </c>
    </row>
    <row r="27" spans="2:9" x14ac:dyDescent="0.2">
      <c r="C27">
        <f>442550*0.0035*2</f>
        <v>3097.85</v>
      </c>
    </row>
    <row r="28" spans="2:9" ht="16" customHeight="1" x14ac:dyDescent="0.2">
      <c r="B28" s="9" t="s">
        <v>120</v>
      </c>
      <c r="C28" s="19"/>
      <c r="D28" s="19"/>
      <c r="E28" s="19"/>
      <c r="F28" s="63" t="s">
        <v>296</v>
      </c>
      <c r="G28" s="63" t="s">
        <v>297</v>
      </c>
      <c r="H28" s="63" t="s">
        <v>112</v>
      </c>
      <c r="I28" s="64" t="s">
        <v>140</v>
      </c>
    </row>
    <row r="29" spans="2:9" x14ac:dyDescent="0.2">
      <c r="C29" s="19"/>
      <c r="D29" s="19"/>
      <c r="E29" s="19"/>
      <c r="F29" s="63"/>
      <c r="G29" s="63"/>
      <c r="H29" s="63"/>
      <c r="I29" s="64"/>
    </row>
    <row r="30" spans="2:9" ht="18" thickBot="1" x14ac:dyDescent="0.25">
      <c r="B30" s="19">
        <v>2021</v>
      </c>
      <c r="C30" s="25" t="s">
        <v>95</v>
      </c>
      <c r="D30" s="25" t="s">
        <v>119</v>
      </c>
      <c r="E30" s="25" t="s">
        <v>118</v>
      </c>
      <c r="F30" s="25" t="s">
        <v>117</v>
      </c>
      <c r="G30" s="25" t="s">
        <v>102</v>
      </c>
      <c r="H30" s="26" t="s">
        <v>103</v>
      </c>
      <c r="I30" s="27" t="s">
        <v>96</v>
      </c>
    </row>
    <row r="31" spans="2:9" ht="17" thickTop="1" x14ac:dyDescent="0.2">
      <c r="B31" s="18" t="s">
        <v>114</v>
      </c>
      <c r="C31" s="18">
        <v>323</v>
      </c>
      <c r="D31" s="21">
        <v>0</v>
      </c>
      <c r="E31" s="21">
        <f>'Fee Schedule'!$E$12</f>
        <v>500</v>
      </c>
      <c r="F31" s="21">
        <f>IF(C31&lt;=1,C31*$F$9,$B$87)</f>
        <v>0</v>
      </c>
      <c r="G31" s="21">
        <f t="shared" ref="G31:G42" si="4">IF(C31&lt;=150000,0,IF(C31&lt;=300000,(C31-150000)*$G$9,IF(C31&gt;300000,$B$88,$B$88)))</f>
        <v>0</v>
      </c>
      <c r="H31" s="37">
        <f>IF(C31&gt;=300000,(C31-300000)*$H$9,0)</f>
        <v>0</v>
      </c>
      <c r="I31" s="23">
        <f t="shared" ref="I31:I42" si="5">SUM(F31:H31)</f>
        <v>0</v>
      </c>
    </row>
    <row r="32" spans="2:9" x14ac:dyDescent="0.2">
      <c r="B32" s="18" t="s">
        <v>115</v>
      </c>
      <c r="C32" s="18">
        <v>0</v>
      </c>
      <c r="D32" s="21"/>
      <c r="E32" s="21">
        <f>'Fee Schedule'!$E$12</f>
        <v>500</v>
      </c>
      <c r="F32" s="21">
        <f>IF(C32&lt;=1,C32*$F$9,$B$87)</f>
        <v>0</v>
      </c>
      <c r="G32" s="21">
        <f t="shared" si="4"/>
        <v>0</v>
      </c>
      <c r="H32" s="37">
        <f t="shared" ref="H32:H42" si="6">IF(C32&gt;=300000,(C32-300000)*$H$9,0)</f>
        <v>0</v>
      </c>
      <c r="I32" s="23">
        <f t="shared" si="5"/>
        <v>0</v>
      </c>
    </row>
    <row r="33" spans="2:9" x14ac:dyDescent="0.2">
      <c r="B33" s="18" t="s">
        <v>116</v>
      </c>
      <c r="C33" s="18">
        <v>1100</v>
      </c>
      <c r="D33" s="21"/>
      <c r="E33" s="21">
        <f>'Fee Schedule'!$E$12</f>
        <v>500</v>
      </c>
      <c r="F33" s="21">
        <f>IF(C33&lt;=1,C33*$F$9,$B$87)</f>
        <v>0</v>
      </c>
      <c r="G33" s="21">
        <f t="shared" si="4"/>
        <v>0</v>
      </c>
      <c r="H33" s="37">
        <f t="shared" si="6"/>
        <v>0</v>
      </c>
      <c r="I33" s="23">
        <f t="shared" si="5"/>
        <v>0</v>
      </c>
    </row>
    <row r="34" spans="2:9" x14ac:dyDescent="0.2">
      <c r="B34" s="18" t="s">
        <v>4</v>
      </c>
      <c r="C34" s="18">
        <v>3514</v>
      </c>
      <c r="E34" s="21">
        <f>'Fee Schedule'!$E$12</f>
        <v>500</v>
      </c>
      <c r="F34" s="21">
        <f>IF(C34&lt;=1,C34*$F$9,$B$87)</f>
        <v>0</v>
      </c>
      <c r="G34" s="21">
        <f t="shared" si="4"/>
        <v>0</v>
      </c>
      <c r="H34" s="37">
        <f t="shared" si="6"/>
        <v>0</v>
      </c>
      <c r="I34" s="23">
        <f t="shared" si="5"/>
        <v>0</v>
      </c>
    </row>
    <row r="35" spans="2:9" x14ac:dyDescent="0.2">
      <c r="B35" s="18" t="s">
        <v>15</v>
      </c>
      <c r="C35" s="18">
        <v>213100</v>
      </c>
      <c r="D35" s="18"/>
      <c r="E35" s="21">
        <f>'Fee Schedule'!$E$12</f>
        <v>500</v>
      </c>
      <c r="F35" s="21">
        <f>IF(C35&lt;=1,C35*$F$9,$B$87)</f>
        <v>0</v>
      </c>
      <c r="G35" s="21">
        <f t="shared" si="4"/>
        <v>283.95</v>
      </c>
      <c r="H35" s="37">
        <f t="shared" si="6"/>
        <v>0</v>
      </c>
      <c r="I35" s="23">
        <f t="shared" si="5"/>
        <v>283.95</v>
      </c>
    </row>
    <row r="36" spans="2:9" x14ac:dyDescent="0.2">
      <c r="B36" s="18" t="s">
        <v>16</v>
      </c>
      <c r="C36" s="18">
        <v>398700</v>
      </c>
      <c r="D36" s="18"/>
      <c r="E36" s="21">
        <f>'Fee Schedule'!$E$12</f>
        <v>500</v>
      </c>
      <c r="F36" s="21">
        <f t="shared" ref="F36:F41" si="7">IF(C36&lt;=1,C36*$F$9,$B$87)</f>
        <v>0</v>
      </c>
      <c r="G36" s="21">
        <f t="shared" si="4"/>
        <v>224.99999999999997</v>
      </c>
      <c r="H36" s="37">
        <f t="shared" si="6"/>
        <v>740.25</v>
      </c>
      <c r="I36" s="23">
        <f t="shared" si="5"/>
        <v>965.25</v>
      </c>
    </row>
    <row r="37" spans="2:9" x14ac:dyDescent="0.2">
      <c r="B37" s="18" t="s">
        <v>17</v>
      </c>
      <c r="C37" s="18">
        <v>221200</v>
      </c>
      <c r="D37" s="18"/>
      <c r="E37" s="21">
        <f>'Fee Schedule'!$E$12</f>
        <v>500</v>
      </c>
      <c r="F37" s="21">
        <f t="shared" si="7"/>
        <v>0</v>
      </c>
      <c r="G37" s="21">
        <f t="shared" si="4"/>
        <v>320.39999999999998</v>
      </c>
      <c r="H37" s="37">
        <f t="shared" si="6"/>
        <v>0</v>
      </c>
      <c r="I37" s="23">
        <f t="shared" si="5"/>
        <v>320.39999999999998</v>
      </c>
    </row>
    <row r="38" spans="2:9" x14ac:dyDescent="0.2">
      <c r="B38" s="18" t="s">
        <v>91</v>
      </c>
      <c r="C38" s="18">
        <v>101000</v>
      </c>
      <c r="D38" s="18"/>
      <c r="E38" s="21">
        <f>'Fee Schedule'!$E$12</f>
        <v>500</v>
      </c>
      <c r="F38" s="21">
        <f t="shared" si="7"/>
        <v>0</v>
      </c>
      <c r="G38" s="21">
        <f t="shared" si="4"/>
        <v>0</v>
      </c>
      <c r="H38" s="37">
        <f t="shared" si="6"/>
        <v>0</v>
      </c>
      <c r="I38" s="23">
        <f t="shared" si="5"/>
        <v>0</v>
      </c>
    </row>
    <row r="39" spans="2:9" x14ac:dyDescent="0.2">
      <c r="B39" s="18" t="s">
        <v>92</v>
      </c>
      <c r="C39" s="18">
        <v>113700</v>
      </c>
      <c r="D39" s="18"/>
      <c r="E39" s="21">
        <f>'Fee Schedule'!$E$12</f>
        <v>500</v>
      </c>
      <c r="F39" s="21">
        <f t="shared" si="7"/>
        <v>0</v>
      </c>
      <c r="G39" s="21">
        <f t="shared" si="4"/>
        <v>0</v>
      </c>
      <c r="H39" s="37">
        <f t="shared" si="6"/>
        <v>0</v>
      </c>
      <c r="I39" s="23">
        <f t="shared" si="5"/>
        <v>0</v>
      </c>
    </row>
    <row r="40" spans="2:9" x14ac:dyDescent="0.2">
      <c r="B40" s="18" t="s">
        <v>93</v>
      </c>
      <c r="C40" s="18">
        <v>101100</v>
      </c>
      <c r="D40" s="18"/>
      <c r="E40" s="21">
        <f>'Fee Schedule'!$E$12</f>
        <v>500</v>
      </c>
      <c r="F40" s="21">
        <f t="shared" si="7"/>
        <v>0</v>
      </c>
      <c r="G40" s="21">
        <f t="shared" si="4"/>
        <v>0</v>
      </c>
      <c r="H40" s="37">
        <f t="shared" si="6"/>
        <v>0</v>
      </c>
      <c r="I40" s="23">
        <f t="shared" si="5"/>
        <v>0</v>
      </c>
    </row>
    <row r="41" spans="2:9" x14ac:dyDescent="0.2">
      <c r="B41" s="18" t="s">
        <v>94</v>
      </c>
      <c r="C41" s="18">
        <v>93500</v>
      </c>
      <c r="D41" s="18"/>
      <c r="E41" s="21">
        <f>'Fee Schedule'!$E$12</f>
        <v>500</v>
      </c>
      <c r="F41" s="21">
        <f t="shared" si="7"/>
        <v>0</v>
      </c>
      <c r="G41" s="21">
        <f t="shared" si="4"/>
        <v>0</v>
      </c>
      <c r="H41" s="37">
        <f t="shared" si="6"/>
        <v>0</v>
      </c>
      <c r="I41" s="23">
        <f t="shared" si="5"/>
        <v>0</v>
      </c>
    </row>
    <row r="42" spans="2:9" x14ac:dyDescent="0.2">
      <c r="B42" s="18" t="s">
        <v>113</v>
      </c>
      <c r="C42" s="18">
        <v>20100</v>
      </c>
      <c r="D42" s="21"/>
      <c r="E42" s="21">
        <f>'Fee Schedule'!$E$12</f>
        <v>500</v>
      </c>
      <c r="F42" s="21">
        <f>IF(C42&lt;=1,C42*$F$9,$B$87)</f>
        <v>0</v>
      </c>
      <c r="G42" s="21">
        <f t="shared" si="4"/>
        <v>0</v>
      </c>
      <c r="H42" s="37">
        <f t="shared" si="6"/>
        <v>0</v>
      </c>
      <c r="I42" s="23">
        <f t="shared" si="5"/>
        <v>0</v>
      </c>
    </row>
    <row r="43" spans="2:9" x14ac:dyDescent="0.2">
      <c r="C43" s="58">
        <f>SUM(C36:C41)</f>
        <v>1029200</v>
      </c>
      <c r="D43" s="28">
        <f>SUM(D31:D42)</f>
        <v>0</v>
      </c>
      <c r="E43" s="28">
        <f>SUM(E31:E42)</f>
        <v>6000</v>
      </c>
      <c r="F43" s="28">
        <f>SUM(F31:F42)</f>
        <v>0</v>
      </c>
      <c r="G43" s="28">
        <f>SUM(G31:G42)</f>
        <v>829.34999999999991</v>
      </c>
      <c r="H43" s="29">
        <f>SUM(H34:H41)</f>
        <v>740.25</v>
      </c>
      <c r="I43" s="30">
        <f>SUM(I31:I42)</f>
        <v>1569.6</v>
      </c>
    </row>
    <row r="44" spans="2:9" x14ac:dyDescent="0.2">
      <c r="C44">
        <f>1029200/12</f>
        <v>85766.666666666672</v>
      </c>
    </row>
    <row r="45" spans="2:9" x14ac:dyDescent="0.2">
      <c r="B45" s="9"/>
      <c r="C45">
        <f>85767*0.0035*2</f>
        <v>600.36900000000003</v>
      </c>
    </row>
    <row r="46" spans="2:9" ht="16" customHeight="1" x14ac:dyDescent="0.2">
      <c r="B46" s="9" t="s">
        <v>122</v>
      </c>
      <c r="C46" s="19"/>
      <c r="D46" s="19"/>
      <c r="E46" s="19"/>
      <c r="F46" s="63" t="s">
        <v>296</v>
      </c>
      <c r="G46" s="63" t="s">
        <v>297</v>
      </c>
      <c r="H46" s="63" t="s">
        <v>112</v>
      </c>
      <c r="I46" s="64" t="s">
        <v>140</v>
      </c>
    </row>
    <row r="47" spans="2:9" ht="15" customHeight="1" x14ac:dyDescent="0.2">
      <c r="C47" s="19"/>
      <c r="D47" s="19"/>
      <c r="E47" s="19"/>
      <c r="F47" s="63"/>
      <c r="G47" s="63"/>
      <c r="H47" s="63"/>
      <c r="I47" s="64"/>
    </row>
    <row r="48" spans="2:9" ht="18" thickBot="1" x14ac:dyDescent="0.25">
      <c r="B48" s="19">
        <v>2021</v>
      </c>
      <c r="C48" s="25" t="s">
        <v>95</v>
      </c>
      <c r="D48" s="25" t="s">
        <v>119</v>
      </c>
      <c r="E48" s="25" t="s">
        <v>118</v>
      </c>
      <c r="F48" s="25" t="s">
        <v>117</v>
      </c>
      <c r="G48" s="25" t="s">
        <v>102</v>
      </c>
      <c r="H48" s="26" t="s">
        <v>103</v>
      </c>
      <c r="I48" s="27" t="s">
        <v>96</v>
      </c>
    </row>
    <row r="49" spans="2:9" ht="17" thickTop="1" x14ac:dyDescent="0.2">
      <c r="B49" s="18" t="s">
        <v>114</v>
      </c>
      <c r="C49" s="54">
        <v>1</v>
      </c>
      <c r="D49" s="21">
        <v>0</v>
      </c>
      <c r="E49" s="21">
        <f>'Fee Schedule'!$E$12</f>
        <v>500</v>
      </c>
      <c r="F49" s="21">
        <f>IF(C49&lt;=1,C49*$F$9,$B$87)</f>
        <v>2E-3</v>
      </c>
      <c r="G49" s="21">
        <f t="shared" ref="G49:G60" si="8">IF(C49&lt;=150000,0,IF(C49&lt;=300000,(C49-150000)*$G$9,IF(C49&gt;300000,$B$88,$B$88)))</f>
        <v>0</v>
      </c>
      <c r="H49" s="37">
        <f>IF(C49&gt;=300000,(C49-300000)*$H$9,0)</f>
        <v>0</v>
      </c>
      <c r="I49" s="23">
        <f t="shared" ref="I49:I60" si="9">SUM(F49:H49)</f>
        <v>2E-3</v>
      </c>
    </row>
    <row r="50" spans="2:9" x14ac:dyDescent="0.2">
      <c r="B50" s="18" t="s">
        <v>115</v>
      </c>
      <c r="C50" s="54">
        <v>1</v>
      </c>
      <c r="D50" s="21"/>
      <c r="E50" s="21">
        <f>'Fee Schedule'!$E$12</f>
        <v>500</v>
      </c>
      <c r="F50" s="21">
        <f>IF(C50&lt;=1,C50*$F$9,$B$87)</f>
        <v>2E-3</v>
      </c>
      <c r="G50" s="21">
        <f t="shared" si="8"/>
        <v>0</v>
      </c>
      <c r="H50" s="37">
        <f t="shared" ref="H50:H60" si="10">IF(C50&gt;=300000,(C50-300000)*$H$9,0)</f>
        <v>0</v>
      </c>
      <c r="I50" s="23">
        <f t="shared" si="9"/>
        <v>2E-3</v>
      </c>
    </row>
    <row r="51" spans="2:9" x14ac:dyDescent="0.2">
      <c r="B51" s="18" t="s">
        <v>116</v>
      </c>
      <c r="C51" s="54">
        <v>1</v>
      </c>
      <c r="D51" s="21"/>
      <c r="E51" s="21">
        <f>'Fee Schedule'!$E$12</f>
        <v>500</v>
      </c>
      <c r="F51" s="21">
        <f>IF(C51&lt;=1,C51*$F$9,$B$87)</f>
        <v>2E-3</v>
      </c>
      <c r="G51" s="21">
        <f t="shared" si="8"/>
        <v>0</v>
      </c>
      <c r="H51" s="37">
        <f t="shared" si="10"/>
        <v>0</v>
      </c>
      <c r="I51" s="23">
        <f t="shared" si="9"/>
        <v>2E-3</v>
      </c>
    </row>
    <row r="52" spans="2:9" x14ac:dyDescent="0.2">
      <c r="B52" s="18" t="s">
        <v>4</v>
      </c>
      <c r="C52" s="54">
        <v>1</v>
      </c>
      <c r="E52" s="21">
        <f>'Fee Schedule'!$E$12</f>
        <v>500</v>
      </c>
      <c r="F52" s="21">
        <f>IF(C52&lt;=1,C52*$F$9,$B$87)</f>
        <v>2E-3</v>
      </c>
      <c r="G52" s="21">
        <f t="shared" si="8"/>
        <v>0</v>
      </c>
      <c r="H52" s="37">
        <f t="shared" si="10"/>
        <v>0</v>
      </c>
      <c r="I52" s="23">
        <f t="shared" si="9"/>
        <v>2E-3</v>
      </c>
    </row>
    <row r="53" spans="2:9" x14ac:dyDescent="0.2">
      <c r="B53" s="18" t="s">
        <v>15</v>
      </c>
      <c r="C53" s="54">
        <v>1</v>
      </c>
      <c r="D53" s="18"/>
      <c r="E53" s="21">
        <f>'Fee Schedule'!$E$12</f>
        <v>500</v>
      </c>
      <c r="F53" s="21">
        <f>IF(C53&lt;=1,C53*$F$9,$B$87)</f>
        <v>2E-3</v>
      </c>
      <c r="G53" s="21">
        <f t="shared" si="8"/>
        <v>0</v>
      </c>
      <c r="H53" s="37">
        <f t="shared" si="10"/>
        <v>0</v>
      </c>
      <c r="I53" s="23">
        <f t="shared" si="9"/>
        <v>2E-3</v>
      </c>
    </row>
    <row r="54" spans="2:9" x14ac:dyDescent="0.2">
      <c r="B54" s="18" t="s">
        <v>16</v>
      </c>
      <c r="C54" s="54">
        <v>1</v>
      </c>
      <c r="D54" s="18"/>
      <c r="E54" s="21">
        <f>'Fee Schedule'!$E$12</f>
        <v>500</v>
      </c>
      <c r="F54" s="21">
        <f t="shared" ref="F54:F59" si="11">IF(C54&lt;=1,C54*$F$9,$B$87)</f>
        <v>2E-3</v>
      </c>
      <c r="G54" s="21">
        <f t="shared" si="8"/>
        <v>0</v>
      </c>
      <c r="H54" s="37">
        <f t="shared" si="10"/>
        <v>0</v>
      </c>
      <c r="I54" s="23">
        <f t="shared" si="9"/>
        <v>2E-3</v>
      </c>
    </row>
    <row r="55" spans="2:9" x14ac:dyDescent="0.2">
      <c r="B55" s="18" t="s">
        <v>17</v>
      </c>
      <c r="C55" s="54">
        <v>1</v>
      </c>
      <c r="D55" s="18"/>
      <c r="E55" s="21">
        <f>'Fee Schedule'!$E$12</f>
        <v>500</v>
      </c>
      <c r="F55" s="21">
        <f t="shared" si="11"/>
        <v>2E-3</v>
      </c>
      <c r="G55" s="21">
        <f t="shared" si="8"/>
        <v>0</v>
      </c>
      <c r="H55" s="37">
        <f t="shared" si="10"/>
        <v>0</v>
      </c>
      <c r="I55" s="23">
        <f t="shared" si="9"/>
        <v>2E-3</v>
      </c>
    </row>
    <row r="56" spans="2:9" x14ac:dyDescent="0.2">
      <c r="B56" s="18" t="s">
        <v>91</v>
      </c>
      <c r="C56" s="54">
        <v>1</v>
      </c>
      <c r="D56" s="18"/>
      <c r="E56" s="21">
        <f>'Fee Schedule'!$E$12</f>
        <v>500</v>
      </c>
      <c r="F56" s="21">
        <f t="shared" si="11"/>
        <v>2E-3</v>
      </c>
      <c r="G56" s="21">
        <f t="shared" si="8"/>
        <v>0</v>
      </c>
      <c r="H56" s="37">
        <f t="shared" si="10"/>
        <v>0</v>
      </c>
      <c r="I56" s="23">
        <f t="shared" si="9"/>
        <v>2E-3</v>
      </c>
    </row>
    <row r="57" spans="2:9" x14ac:dyDescent="0.2">
      <c r="B57" s="18" t="s">
        <v>92</v>
      </c>
      <c r="C57" s="54">
        <v>1</v>
      </c>
      <c r="D57" s="18"/>
      <c r="E57" s="21">
        <f>'Fee Schedule'!$E$12</f>
        <v>500</v>
      </c>
      <c r="F57" s="21">
        <f t="shared" si="11"/>
        <v>2E-3</v>
      </c>
      <c r="G57" s="21">
        <f t="shared" si="8"/>
        <v>0</v>
      </c>
      <c r="H57" s="37">
        <f t="shared" si="10"/>
        <v>0</v>
      </c>
      <c r="I57" s="23">
        <f t="shared" si="9"/>
        <v>2E-3</v>
      </c>
    </row>
    <row r="58" spans="2:9" x14ac:dyDescent="0.2">
      <c r="B58" s="18" t="s">
        <v>93</v>
      </c>
      <c r="C58" s="54">
        <v>1</v>
      </c>
      <c r="D58" s="18"/>
      <c r="E58" s="21">
        <f>'Fee Schedule'!$E$12</f>
        <v>500</v>
      </c>
      <c r="F58" s="21">
        <f t="shared" si="11"/>
        <v>2E-3</v>
      </c>
      <c r="G58" s="21">
        <f t="shared" si="8"/>
        <v>0</v>
      </c>
      <c r="H58" s="37">
        <f t="shared" si="10"/>
        <v>0</v>
      </c>
      <c r="I58" s="23">
        <f t="shared" si="9"/>
        <v>2E-3</v>
      </c>
    </row>
    <row r="59" spans="2:9" x14ac:dyDescent="0.2">
      <c r="B59" s="18" t="s">
        <v>94</v>
      </c>
      <c r="C59" s="54">
        <v>1</v>
      </c>
      <c r="D59" s="18"/>
      <c r="E59" s="21">
        <f>'Fee Schedule'!$E$12</f>
        <v>500</v>
      </c>
      <c r="F59" s="21">
        <f t="shared" si="11"/>
        <v>2E-3</v>
      </c>
      <c r="G59" s="21">
        <f t="shared" si="8"/>
        <v>0</v>
      </c>
      <c r="H59" s="37">
        <f t="shared" si="10"/>
        <v>0</v>
      </c>
      <c r="I59" s="23">
        <f t="shared" si="9"/>
        <v>2E-3</v>
      </c>
    </row>
    <row r="60" spans="2:9" x14ac:dyDescent="0.2">
      <c r="B60" s="18" t="s">
        <v>113</v>
      </c>
      <c r="C60" s="54">
        <v>1</v>
      </c>
      <c r="D60" s="21"/>
      <c r="E60" s="21">
        <f>'Fee Schedule'!$E$12</f>
        <v>500</v>
      </c>
      <c r="F60" s="21">
        <f>IF(C60&lt;=1,C60*$F$9,$B$87)</f>
        <v>2E-3</v>
      </c>
      <c r="G60" s="21">
        <f t="shared" si="8"/>
        <v>0</v>
      </c>
      <c r="H60" s="37">
        <f t="shared" si="10"/>
        <v>0</v>
      </c>
      <c r="I60" s="23">
        <f t="shared" si="9"/>
        <v>2E-3</v>
      </c>
    </row>
    <row r="61" spans="2:9" x14ac:dyDescent="0.2">
      <c r="C61" s="58">
        <f>SUM(C52:C59)</f>
        <v>8</v>
      </c>
      <c r="D61" s="28">
        <f>SUM(D49:D60)</f>
        <v>0</v>
      </c>
      <c r="E61" s="28">
        <f>SUM(E49:E60)</f>
        <v>6000</v>
      </c>
      <c r="F61" s="28">
        <f>SUM(F49:F60)</f>
        <v>2.4000000000000007E-2</v>
      </c>
      <c r="G61" s="28">
        <f>SUM(G49:G60)</f>
        <v>0</v>
      </c>
      <c r="H61" s="29">
        <f>SUM(H52:H59)</f>
        <v>0</v>
      </c>
      <c r="I61" s="30">
        <f>SUM(I49:I60)</f>
        <v>2.4000000000000007E-2</v>
      </c>
    </row>
    <row r="63" spans="2:9" x14ac:dyDescent="0.2">
      <c r="B63" s="18" t="s">
        <v>298</v>
      </c>
      <c r="E63" s="21">
        <v>0</v>
      </c>
    </row>
    <row r="64" spans="2:9" x14ac:dyDescent="0.2">
      <c r="B64" s="18" t="s">
        <v>299</v>
      </c>
      <c r="E64" s="21">
        <v>0</v>
      </c>
    </row>
    <row r="65" spans="2:8" s="1" customFormat="1" x14ac:dyDescent="0.2">
      <c r="B65" s="1" t="s">
        <v>139</v>
      </c>
      <c r="C65" s="1">
        <f>C61+C43+C25</f>
        <v>6339808</v>
      </c>
      <c r="D65" s="34">
        <f>D25+D43+D61</f>
        <v>0</v>
      </c>
      <c r="E65" s="34">
        <f>E61+E43+E25</f>
        <v>18000</v>
      </c>
      <c r="F65" s="34">
        <f>F61+F43+F25</f>
        <v>2.4000000000000007E-2</v>
      </c>
      <c r="G65" s="34">
        <f>G61+G43+G25</f>
        <v>2928.1499999999996</v>
      </c>
      <c r="H65" s="34">
        <f>H61+H43+H25</f>
        <v>14668.5</v>
      </c>
    </row>
    <row r="67" spans="2:8" x14ac:dyDescent="0.2">
      <c r="C67">
        <f>C65*0.0045</f>
        <v>28529.135999999999</v>
      </c>
    </row>
    <row r="87" spans="2:2" x14ac:dyDescent="0.2">
      <c r="B87">
        <v>0</v>
      </c>
    </row>
    <row r="88" spans="2:2" x14ac:dyDescent="0.2">
      <c r="B88">
        <f>50000*$G$9</f>
        <v>224.99999999999997</v>
      </c>
    </row>
  </sheetData>
  <mergeCells count="14">
    <mergeCell ref="F46:F47"/>
    <mergeCell ref="G46:G47"/>
    <mergeCell ref="H46:H47"/>
    <mergeCell ref="I46:I47"/>
    <mergeCell ref="B4:E6"/>
    <mergeCell ref="B9:C9"/>
    <mergeCell ref="F10:F11"/>
    <mergeCell ref="I28:I29"/>
    <mergeCell ref="I10:I11"/>
    <mergeCell ref="G10:G11"/>
    <mergeCell ref="H10:H11"/>
    <mergeCell ref="F28:F29"/>
    <mergeCell ref="G28:G29"/>
    <mergeCell ref="H28:H29"/>
  </mergeCells>
  <pageMargins left="0.7" right="0.7" top="0.75" bottom="0.75" header="0.3" footer="0.3"/>
  <pageSetup paperSize="4"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D7773-5060-C247-A1BE-A78D6D18BE9E}">
  <sheetPr>
    <tabColor rgb="FFFFFF00"/>
    <pageSetUpPr fitToPage="1"/>
  </sheetPr>
  <dimension ref="A1:O82"/>
  <sheetViews>
    <sheetView topLeftCell="B22" zoomScaleNormal="150" zoomScaleSheetLayoutView="100" workbookViewId="0">
      <selection activeCell="E80" sqref="E80"/>
    </sheetView>
  </sheetViews>
  <sheetFormatPr baseColWidth="10" defaultColWidth="8.83203125" defaultRowHeight="16" x14ac:dyDescent="0.2"/>
  <cols>
    <col min="3" max="3" width="17.33203125" customWidth="1"/>
    <col min="4" max="4" width="13.6640625" customWidth="1"/>
    <col min="5" max="5" width="17.1640625" style="46" customWidth="1"/>
    <col min="6" max="6" width="10.1640625" customWidth="1"/>
  </cols>
  <sheetData>
    <row r="1" spans="1:9" x14ac:dyDescent="0.2">
      <c r="H1" s="16"/>
    </row>
    <row r="2" spans="1:9" x14ac:dyDescent="0.2">
      <c r="H2" s="16"/>
    </row>
    <row r="3" spans="1:9" x14ac:dyDescent="0.2">
      <c r="B3" s="9" t="s">
        <v>111</v>
      </c>
      <c r="H3" s="16"/>
    </row>
    <row r="4" spans="1:9" x14ac:dyDescent="0.2">
      <c r="H4" s="16"/>
    </row>
    <row r="5" spans="1:9" x14ac:dyDescent="0.2">
      <c r="H5" s="16"/>
    </row>
    <row r="6" spans="1:9" x14ac:dyDescent="0.2">
      <c r="A6" s="1">
        <v>1</v>
      </c>
      <c r="B6" s="22" t="s">
        <v>88</v>
      </c>
    </row>
    <row r="7" spans="1:9" x14ac:dyDescent="0.2">
      <c r="A7" s="1"/>
      <c r="D7" s="18"/>
    </row>
    <row r="8" spans="1:9" ht="15" customHeight="1" x14ac:dyDescent="0.2">
      <c r="A8" s="1"/>
      <c r="B8" s="73" t="s">
        <v>301</v>
      </c>
      <c r="C8" s="73"/>
      <c r="E8" s="77">
        <v>2E-3</v>
      </c>
    </row>
    <row r="9" spans="1:9" x14ac:dyDescent="0.2">
      <c r="A9" s="1"/>
      <c r="B9" t="s">
        <v>302</v>
      </c>
      <c r="D9" s="18"/>
      <c r="E9" s="77">
        <v>4.4999999999999997E-3</v>
      </c>
      <c r="H9" s="43"/>
      <c r="I9" s="43"/>
    </row>
    <row r="10" spans="1:9" x14ac:dyDescent="0.2">
      <c r="A10" s="1"/>
      <c r="B10" s="74" t="s">
        <v>303</v>
      </c>
      <c r="C10" s="74"/>
      <c r="E10" s="77">
        <v>7.4999999999999997E-3</v>
      </c>
      <c r="H10" s="43"/>
      <c r="I10" s="43"/>
    </row>
    <row r="11" spans="1:9" x14ac:dyDescent="0.2">
      <c r="A11" s="1"/>
      <c r="B11" s="41"/>
      <c r="D11" s="18"/>
    </row>
    <row r="12" spans="1:9" x14ac:dyDescent="0.2">
      <c r="A12" s="1"/>
      <c r="B12" s="74" t="s">
        <v>331</v>
      </c>
      <c r="C12" s="74"/>
      <c r="E12" s="46">
        <v>500</v>
      </c>
    </row>
    <row r="13" spans="1:9" x14ac:dyDescent="0.2">
      <c r="A13" s="1"/>
      <c r="C13" s="36"/>
    </row>
    <row r="14" spans="1:9" x14ac:dyDescent="0.2">
      <c r="A14" s="1"/>
      <c r="B14" s="42"/>
      <c r="C14" s="20"/>
    </row>
    <row r="15" spans="1:9" x14ac:dyDescent="0.2">
      <c r="A15" s="1">
        <v>2</v>
      </c>
      <c r="B15" s="22" t="s">
        <v>90</v>
      </c>
    </row>
    <row r="16" spans="1:9" x14ac:dyDescent="0.2">
      <c r="A16" s="1"/>
      <c r="B16" s="22"/>
    </row>
    <row r="17" spans="1:6" x14ac:dyDescent="0.2">
      <c r="A17" s="1"/>
      <c r="B17" s="73" t="s">
        <v>329</v>
      </c>
      <c r="C17" s="73"/>
      <c r="D17" s="2" t="s">
        <v>335</v>
      </c>
      <c r="E17" s="46">
        <f>200*5</f>
        <v>1000</v>
      </c>
      <c r="F17" s="55" t="s">
        <v>310</v>
      </c>
    </row>
    <row r="18" spans="1:6" x14ac:dyDescent="0.2">
      <c r="A18" s="1"/>
      <c r="B18" s="73" t="s">
        <v>123</v>
      </c>
      <c r="C18" s="73"/>
      <c r="E18" s="46">
        <v>5000</v>
      </c>
    </row>
    <row r="19" spans="1:6" x14ac:dyDescent="0.2">
      <c r="A19" s="1"/>
      <c r="B19" s="73" t="s">
        <v>126</v>
      </c>
      <c r="C19" s="73"/>
      <c r="D19" s="33"/>
    </row>
    <row r="20" spans="1:6" x14ac:dyDescent="0.2">
      <c r="A20" s="1"/>
      <c r="B20" s="73" t="s">
        <v>124</v>
      </c>
      <c r="C20" s="73"/>
      <c r="E20" s="46" t="s">
        <v>152</v>
      </c>
    </row>
    <row r="21" spans="1:6" x14ac:dyDescent="0.2">
      <c r="A21" s="1"/>
      <c r="B21" s="73" t="s">
        <v>125</v>
      </c>
      <c r="C21" s="73"/>
      <c r="E21" s="46" t="s">
        <v>153</v>
      </c>
    </row>
    <row r="22" spans="1:6" x14ac:dyDescent="0.2">
      <c r="A22" s="1"/>
    </row>
    <row r="23" spans="1:6" x14ac:dyDescent="0.2">
      <c r="A23" s="1">
        <v>3</v>
      </c>
      <c r="B23" s="10" t="s">
        <v>322</v>
      </c>
    </row>
    <row r="24" spans="1:6" x14ac:dyDescent="0.2">
      <c r="A24" s="1"/>
      <c r="B24" s="22"/>
    </row>
    <row r="25" spans="1:6" x14ac:dyDescent="0.2">
      <c r="A25" s="1"/>
      <c r="B25" s="73" t="s">
        <v>128</v>
      </c>
      <c r="C25" s="73"/>
      <c r="D25" t="s">
        <v>154</v>
      </c>
      <c r="E25" s="46">
        <v>500</v>
      </c>
      <c r="F25" s="55" t="s">
        <v>310</v>
      </c>
    </row>
    <row r="26" spans="1:6" x14ac:dyDescent="0.2">
      <c r="A26" s="1"/>
      <c r="B26" s="22"/>
    </row>
    <row r="27" spans="1:6" x14ac:dyDescent="0.2">
      <c r="A27" s="1"/>
      <c r="B27" s="22"/>
    </row>
    <row r="28" spans="1:6" x14ac:dyDescent="0.2">
      <c r="A28" s="1">
        <v>4</v>
      </c>
      <c r="B28" s="22" t="s">
        <v>76</v>
      </c>
    </row>
    <row r="29" spans="1:6" ht="51" x14ac:dyDescent="0.2">
      <c r="D29" s="31" t="s">
        <v>105</v>
      </c>
      <c r="E29" s="47" t="s">
        <v>106</v>
      </c>
    </row>
    <row r="30" spans="1:6" ht="17" x14ac:dyDescent="0.2">
      <c r="B30" s="73" t="s">
        <v>97</v>
      </c>
      <c r="C30" s="73"/>
      <c r="D30" s="24">
        <v>1</v>
      </c>
      <c r="E30" s="32" t="s">
        <v>305</v>
      </c>
    </row>
    <row r="31" spans="1:6" ht="17" x14ac:dyDescent="0.2">
      <c r="B31" s="73" t="s">
        <v>107</v>
      </c>
      <c r="C31" s="73"/>
      <c r="D31" s="24">
        <v>1</v>
      </c>
      <c r="E31" s="32" t="s">
        <v>306</v>
      </c>
    </row>
    <row r="32" spans="1:6" ht="17" x14ac:dyDescent="0.2">
      <c r="B32" s="73" t="s">
        <v>108</v>
      </c>
      <c r="C32" s="73"/>
      <c r="D32" s="24">
        <v>0.25</v>
      </c>
      <c r="E32" s="32" t="s">
        <v>307</v>
      </c>
    </row>
    <row r="33" spans="1:8" ht="17" x14ac:dyDescent="0.2">
      <c r="B33" s="73" t="s">
        <v>127</v>
      </c>
      <c r="C33" s="73"/>
      <c r="D33" s="24">
        <v>1</v>
      </c>
      <c r="E33" s="32" t="s">
        <v>308</v>
      </c>
    </row>
    <row r="34" spans="1:8" ht="17" x14ac:dyDescent="0.2">
      <c r="B34" s="73" t="s">
        <v>108</v>
      </c>
      <c r="C34" s="73"/>
      <c r="D34" s="24">
        <v>0.25</v>
      </c>
      <c r="E34" s="32" t="s">
        <v>309</v>
      </c>
    </row>
    <row r="35" spans="1:8" x14ac:dyDescent="0.2">
      <c r="B35" s="73" t="s">
        <v>98</v>
      </c>
      <c r="C35" s="73"/>
      <c r="D35" s="24">
        <v>5</v>
      </c>
      <c r="E35" s="32"/>
    </row>
    <row r="36" spans="1:8" x14ac:dyDescent="0.2">
      <c r="B36" s="73" t="s">
        <v>99</v>
      </c>
      <c r="C36" s="73"/>
      <c r="D36" s="24">
        <v>6</v>
      </c>
      <c r="E36" s="32"/>
    </row>
    <row r="37" spans="1:8" x14ac:dyDescent="0.2">
      <c r="B37" s="73" t="s">
        <v>100</v>
      </c>
      <c r="C37" s="73"/>
      <c r="D37" s="24">
        <v>1</v>
      </c>
      <c r="E37" s="32"/>
    </row>
    <row r="38" spans="1:8" x14ac:dyDescent="0.2">
      <c r="B38" s="73" t="s">
        <v>101</v>
      </c>
      <c r="C38" s="73"/>
      <c r="D38" s="24">
        <v>6</v>
      </c>
      <c r="E38" s="32"/>
    </row>
    <row r="39" spans="1:8" x14ac:dyDescent="0.2">
      <c r="B39" s="73" t="s">
        <v>109</v>
      </c>
      <c r="C39" s="73"/>
      <c r="D39" s="24">
        <v>1</v>
      </c>
      <c r="E39" s="32"/>
    </row>
    <row r="40" spans="1:8" x14ac:dyDescent="0.2">
      <c r="B40" s="73" t="s">
        <v>110</v>
      </c>
      <c r="C40" s="73"/>
      <c r="D40" s="24">
        <v>0.25</v>
      </c>
      <c r="E40" s="32"/>
      <c r="G40" s="1"/>
      <c r="H40" s="16"/>
    </row>
    <row r="41" spans="1:8" x14ac:dyDescent="0.2">
      <c r="H41" s="16"/>
    </row>
    <row r="42" spans="1:8" x14ac:dyDescent="0.2">
      <c r="A42" s="1">
        <v>5</v>
      </c>
      <c r="B42" s="22" t="s">
        <v>89</v>
      </c>
    </row>
    <row r="43" spans="1:8" x14ac:dyDescent="0.2">
      <c r="A43" s="1"/>
      <c r="B43" s="22"/>
    </row>
    <row r="44" spans="1:8" x14ac:dyDescent="0.2">
      <c r="B44" s="62" t="s">
        <v>129</v>
      </c>
      <c r="C44" s="62"/>
      <c r="E44" s="46" t="s">
        <v>155</v>
      </c>
    </row>
    <row r="45" spans="1:8" x14ac:dyDescent="0.2">
      <c r="B45" s="62" t="s">
        <v>130</v>
      </c>
      <c r="C45" s="62"/>
      <c r="E45" s="46" t="s">
        <v>156</v>
      </c>
    </row>
    <row r="46" spans="1:8" x14ac:dyDescent="0.2">
      <c r="B46" s="62" t="s">
        <v>131</v>
      </c>
      <c r="C46" s="62"/>
      <c r="E46" s="46">
        <v>100</v>
      </c>
    </row>
    <row r="47" spans="1:8" x14ac:dyDescent="0.2">
      <c r="B47" s="16"/>
    </row>
    <row r="48" spans="1:8" x14ac:dyDescent="0.2">
      <c r="A48" s="1">
        <v>6</v>
      </c>
      <c r="B48" s="69" t="s">
        <v>132</v>
      </c>
      <c r="C48" s="69"/>
    </row>
    <row r="49" spans="1:15" x14ac:dyDescent="0.2">
      <c r="A49" s="1"/>
      <c r="B49" s="16"/>
    </row>
    <row r="50" spans="1:15" x14ac:dyDescent="0.2">
      <c r="A50" s="1"/>
      <c r="B50" s="72" t="s">
        <v>133</v>
      </c>
      <c r="C50" s="72"/>
      <c r="D50" s="72"/>
      <c r="E50" s="72"/>
    </row>
    <row r="51" spans="1:15" x14ac:dyDescent="0.2">
      <c r="A51" s="1"/>
      <c r="B51" s="72"/>
      <c r="C51" s="72"/>
      <c r="D51" s="72"/>
      <c r="E51" s="72"/>
    </row>
    <row r="52" spans="1:15" x14ac:dyDescent="0.2">
      <c r="A52" s="1"/>
      <c r="B52" s="17"/>
    </row>
    <row r="53" spans="1:15" x14ac:dyDescent="0.2">
      <c r="A53" s="1">
        <v>7</v>
      </c>
      <c r="B53" s="70" t="s">
        <v>104</v>
      </c>
      <c r="C53" s="70"/>
      <c r="D53" t="s">
        <v>332</v>
      </c>
      <c r="E53" s="46">
        <v>5000</v>
      </c>
      <c r="F53" s="55" t="s">
        <v>310</v>
      </c>
    </row>
    <row r="54" spans="1:15" x14ac:dyDescent="0.2">
      <c r="A54" s="1"/>
      <c r="B54" s="17"/>
    </row>
    <row r="55" spans="1:15" x14ac:dyDescent="0.2">
      <c r="A55" s="1"/>
      <c r="B55" s="17"/>
    </row>
    <row r="56" spans="1:15" x14ac:dyDescent="0.2">
      <c r="A56" s="1">
        <v>8</v>
      </c>
      <c r="B56" s="71" t="s">
        <v>321</v>
      </c>
      <c r="C56" s="70"/>
      <c r="E56" s="46" t="s">
        <v>330</v>
      </c>
      <c r="F56" s="55" t="s">
        <v>310</v>
      </c>
    </row>
    <row r="57" spans="1:15" x14ac:dyDescent="0.2">
      <c r="A57" s="1"/>
      <c r="B57" s="44"/>
      <c r="C57" s="44"/>
    </row>
    <row r="58" spans="1:15" x14ac:dyDescent="0.2">
      <c r="A58" s="1"/>
      <c r="B58" t="s">
        <v>300</v>
      </c>
    </row>
    <row r="59" spans="1:15" x14ac:dyDescent="0.2">
      <c r="A59" s="1"/>
      <c r="B59" s="16"/>
    </row>
    <row r="60" spans="1:15" x14ac:dyDescent="0.2">
      <c r="A60" s="1">
        <v>9</v>
      </c>
      <c r="B60" s="22" t="s">
        <v>134</v>
      </c>
    </row>
    <row r="61" spans="1:15" x14ac:dyDescent="0.2">
      <c r="A61" s="1"/>
      <c r="B61" s="22"/>
    </row>
    <row r="62" spans="1:15" ht="15" customHeight="1" x14ac:dyDescent="0.2">
      <c r="A62" s="1"/>
      <c r="B62" s="66" t="s">
        <v>317</v>
      </c>
      <c r="C62" s="66"/>
      <c r="D62" t="s">
        <v>315</v>
      </c>
      <c r="E62" s="46">
        <v>0</v>
      </c>
      <c r="F62" s="55"/>
      <c r="G62" s="68" t="s">
        <v>158</v>
      </c>
      <c r="H62" s="68"/>
      <c r="I62" s="68"/>
      <c r="J62" s="68"/>
      <c r="K62" s="68"/>
      <c r="L62" s="68"/>
      <c r="M62" s="68"/>
      <c r="N62" s="68"/>
      <c r="O62" s="68"/>
    </row>
    <row r="63" spans="1:15" x14ac:dyDescent="0.2">
      <c r="A63" s="1"/>
      <c r="B63" s="66" t="s">
        <v>148</v>
      </c>
      <c r="C63" s="66"/>
      <c r="G63" s="68"/>
      <c r="H63" s="68"/>
      <c r="I63" s="68"/>
      <c r="J63" s="68"/>
      <c r="K63" s="68"/>
      <c r="L63" s="68"/>
      <c r="M63" s="68"/>
      <c r="N63" s="68"/>
      <c r="O63" s="68"/>
    </row>
    <row r="64" spans="1:15" ht="15" customHeight="1" x14ac:dyDescent="0.2">
      <c r="A64" s="1"/>
      <c r="B64" s="45" t="s">
        <v>316</v>
      </c>
      <c r="C64" s="45"/>
      <c r="G64" s="67" t="s">
        <v>157</v>
      </c>
      <c r="H64" s="67"/>
      <c r="I64" s="67"/>
      <c r="J64" s="67"/>
      <c r="K64" s="67"/>
      <c r="L64" s="67"/>
      <c r="M64" s="67"/>
      <c r="N64" s="67"/>
      <c r="O64" s="67"/>
    </row>
    <row r="65" spans="1:15" x14ac:dyDescent="0.2">
      <c r="A65" s="1"/>
      <c r="B65" s="45" t="s">
        <v>149</v>
      </c>
      <c r="C65" s="45"/>
      <c r="G65" s="67"/>
      <c r="H65" s="67"/>
      <c r="I65" s="67"/>
      <c r="J65" s="67"/>
      <c r="K65" s="67"/>
      <c r="L65" s="67"/>
      <c r="M65" s="67"/>
      <c r="N65" s="67"/>
      <c r="O65" s="67"/>
    </row>
    <row r="66" spans="1:15" x14ac:dyDescent="0.2">
      <c r="A66" s="1"/>
      <c r="B66" s="45" t="s">
        <v>150</v>
      </c>
      <c r="C66" s="45"/>
      <c r="F66" s="31"/>
      <c r="G66" s="67"/>
      <c r="H66" s="67"/>
      <c r="I66" s="67"/>
      <c r="J66" s="67"/>
      <c r="K66" s="67"/>
      <c r="L66" s="67"/>
      <c r="M66" s="67"/>
      <c r="N66" s="67"/>
      <c r="O66" s="67"/>
    </row>
    <row r="67" spans="1:15" x14ac:dyDescent="0.2">
      <c r="A67" s="1"/>
      <c r="B67" s="45" t="s">
        <v>151</v>
      </c>
      <c r="C67" s="45"/>
      <c r="F67" s="31"/>
      <c r="G67" s="67"/>
      <c r="H67" s="67"/>
      <c r="I67" s="67"/>
      <c r="J67" s="67"/>
      <c r="K67" s="67"/>
      <c r="L67" s="67"/>
      <c r="M67" s="67"/>
      <c r="N67" s="67"/>
      <c r="O67" s="67"/>
    </row>
    <row r="68" spans="1:15" x14ac:dyDescent="0.2">
      <c r="A68" s="1"/>
      <c r="B68" s="45" t="s">
        <v>318</v>
      </c>
      <c r="C68" s="45"/>
      <c r="F68" s="31"/>
      <c r="G68" s="67"/>
      <c r="H68" s="67"/>
      <c r="I68" s="67"/>
      <c r="J68" s="67"/>
      <c r="K68" s="67"/>
      <c r="L68" s="67"/>
      <c r="M68" s="67"/>
      <c r="N68" s="67"/>
      <c r="O68" s="67"/>
    </row>
    <row r="69" spans="1:15" x14ac:dyDescent="0.2">
      <c r="A69" s="1"/>
      <c r="B69" s="45" t="s">
        <v>319</v>
      </c>
      <c r="F69" s="31"/>
      <c r="G69" s="67"/>
      <c r="H69" s="67"/>
      <c r="I69" s="67"/>
      <c r="J69" s="67"/>
      <c r="K69" s="67"/>
      <c r="L69" s="67"/>
      <c r="M69" s="67"/>
      <c r="N69" s="67"/>
      <c r="O69" s="67"/>
    </row>
    <row r="70" spans="1:15" x14ac:dyDescent="0.2">
      <c r="A70" s="1"/>
      <c r="B70" t="s">
        <v>162</v>
      </c>
      <c r="F70" s="31"/>
      <c r="G70" s="67"/>
      <c r="H70" s="67"/>
      <c r="I70" s="67"/>
      <c r="J70" s="67"/>
      <c r="K70" s="67"/>
      <c r="L70" s="67"/>
      <c r="M70" s="67"/>
      <c r="N70" s="67"/>
      <c r="O70" s="67"/>
    </row>
    <row r="71" spans="1:15" x14ac:dyDescent="0.2">
      <c r="A71" s="1"/>
      <c r="B71" t="s">
        <v>163</v>
      </c>
      <c r="F71" s="31"/>
      <c r="G71" s="67"/>
      <c r="H71" s="67"/>
      <c r="I71" s="67"/>
      <c r="J71" s="67"/>
      <c r="K71" s="67"/>
      <c r="L71" s="67"/>
      <c r="M71" s="67"/>
      <c r="N71" s="67"/>
      <c r="O71" s="67"/>
    </row>
    <row r="72" spans="1:15" x14ac:dyDescent="0.2">
      <c r="A72" s="1"/>
      <c r="F72" s="31"/>
      <c r="G72" s="67"/>
      <c r="H72" s="67"/>
      <c r="I72" s="67"/>
      <c r="J72" s="67"/>
      <c r="K72" s="67"/>
      <c r="L72" s="67"/>
      <c r="M72" s="67"/>
      <c r="N72" s="67"/>
      <c r="O72" s="67"/>
    </row>
    <row r="73" spans="1:15" x14ac:dyDescent="0.2">
      <c r="A73" s="1"/>
      <c r="F73" s="31"/>
      <c r="G73" s="67"/>
      <c r="H73" s="67"/>
      <c r="I73" s="67"/>
      <c r="J73" s="67"/>
      <c r="K73" s="67"/>
      <c r="L73" s="67"/>
      <c r="M73" s="67"/>
      <c r="N73" s="67"/>
      <c r="O73" s="67"/>
    </row>
    <row r="74" spans="1:15" x14ac:dyDescent="0.2">
      <c r="A74" s="1"/>
      <c r="F74" s="31"/>
      <c r="G74" s="67"/>
      <c r="H74" s="67"/>
      <c r="I74" s="67"/>
      <c r="J74" s="67"/>
      <c r="K74" s="67"/>
      <c r="L74" s="67"/>
      <c r="M74" s="67"/>
      <c r="N74" s="67"/>
      <c r="O74" s="67"/>
    </row>
    <row r="75" spans="1:15" x14ac:dyDescent="0.2">
      <c r="A75" s="1"/>
      <c r="F75" s="31"/>
      <c r="G75" s="67"/>
      <c r="H75" s="67"/>
      <c r="I75" s="67"/>
      <c r="J75" s="67"/>
      <c r="K75" s="67"/>
      <c r="L75" s="67"/>
      <c r="M75" s="67"/>
      <c r="N75" s="67"/>
      <c r="O75" s="67"/>
    </row>
    <row r="76" spans="1:15" x14ac:dyDescent="0.2">
      <c r="A76" s="1"/>
      <c r="B76" s="16"/>
      <c r="F76" s="31"/>
      <c r="G76" s="67"/>
      <c r="H76" s="67"/>
      <c r="I76" s="67"/>
      <c r="J76" s="67"/>
      <c r="K76" s="67"/>
      <c r="L76" s="67"/>
      <c r="M76" s="67"/>
      <c r="N76" s="67"/>
      <c r="O76" s="67"/>
    </row>
    <row r="77" spans="1:15" x14ac:dyDescent="0.2">
      <c r="F77" s="31"/>
      <c r="G77" s="31"/>
      <c r="H77" s="31"/>
      <c r="I77" s="31"/>
      <c r="J77" s="31"/>
      <c r="K77" s="31"/>
      <c r="L77" s="31"/>
      <c r="M77" s="31"/>
      <c r="N77" s="31"/>
      <c r="O77" s="38"/>
    </row>
    <row r="78" spans="1:15" x14ac:dyDescent="0.2">
      <c r="A78">
        <v>10</v>
      </c>
      <c r="B78" s="10" t="s">
        <v>325</v>
      </c>
      <c r="F78" s="31"/>
      <c r="G78" s="31"/>
      <c r="H78" s="31"/>
      <c r="I78" s="31"/>
      <c r="J78" s="31"/>
      <c r="K78" s="31"/>
      <c r="L78" s="31"/>
      <c r="M78" s="31"/>
      <c r="N78" s="31"/>
      <c r="O78" s="38"/>
    </row>
    <row r="79" spans="1:15" x14ac:dyDescent="0.2">
      <c r="A79" t="s">
        <v>323</v>
      </c>
      <c r="B79" t="s">
        <v>324</v>
      </c>
      <c r="E79" s="46">
        <v>500</v>
      </c>
      <c r="F79" s="55" t="s">
        <v>310</v>
      </c>
      <c r="G79" s="38"/>
      <c r="H79" s="38"/>
      <c r="I79" s="38"/>
      <c r="J79" s="38"/>
      <c r="K79" s="38"/>
      <c r="L79" s="38"/>
      <c r="M79" s="38"/>
      <c r="N79" s="38"/>
    </row>
    <row r="80" spans="1:15" x14ac:dyDescent="0.2">
      <c r="E80" s="46" t="s">
        <v>327</v>
      </c>
      <c r="G80" s="38"/>
      <c r="H80" s="38"/>
      <c r="I80" s="38"/>
      <c r="J80" s="38"/>
      <c r="K80" s="38"/>
      <c r="L80" s="38"/>
      <c r="M80" s="38"/>
      <c r="N80" s="38"/>
    </row>
    <row r="81" spans="7:14" x14ac:dyDescent="0.2">
      <c r="G81" s="38"/>
      <c r="H81" s="38"/>
      <c r="I81" s="38"/>
      <c r="J81" s="38"/>
      <c r="K81" s="38"/>
      <c r="L81" s="38"/>
      <c r="M81" s="38"/>
      <c r="N81" s="38"/>
    </row>
    <row r="82" spans="7:14" x14ac:dyDescent="0.2">
      <c r="G82" s="38"/>
      <c r="H82" s="38"/>
      <c r="I82" s="38"/>
      <c r="J82" s="38"/>
      <c r="K82" s="38"/>
      <c r="L82" s="38"/>
      <c r="M82" s="38"/>
      <c r="N82" s="38"/>
    </row>
  </sheetData>
  <mergeCells count="31">
    <mergeCell ref="B10:C10"/>
    <mergeCell ref="B8:C8"/>
    <mergeCell ref="B12:C12"/>
    <mergeCell ref="B19:C19"/>
    <mergeCell ref="B30:C30"/>
    <mergeCell ref="B62:C62"/>
    <mergeCell ref="B37:C37"/>
    <mergeCell ref="B38:C38"/>
    <mergeCell ref="B39:C39"/>
    <mergeCell ref="B40:C40"/>
    <mergeCell ref="B17:C17"/>
    <mergeCell ref="B18:C18"/>
    <mergeCell ref="B20:C20"/>
    <mergeCell ref="B21:C21"/>
    <mergeCell ref="B25:C25"/>
    <mergeCell ref="B31:C31"/>
    <mergeCell ref="B32:C32"/>
    <mergeCell ref="B33:C33"/>
    <mergeCell ref="B34:C34"/>
    <mergeCell ref="B35:C35"/>
    <mergeCell ref="B36:C36"/>
    <mergeCell ref="B44:C44"/>
    <mergeCell ref="B63:C63"/>
    <mergeCell ref="G64:O76"/>
    <mergeCell ref="G62:O63"/>
    <mergeCell ref="B45:C45"/>
    <mergeCell ref="B46:C46"/>
    <mergeCell ref="B48:C48"/>
    <mergeCell ref="B53:C53"/>
    <mergeCell ref="B56:C56"/>
    <mergeCell ref="B50:E51"/>
  </mergeCells>
  <hyperlinks>
    <hyperlink ref="G62:O63" r:id="rId1" display="https://propertyrights.utah.gov/advisory-opinions/view-all-advisory-opinions/advisory-opinion-101/" xr:uid="{3962A242-7068-1D4B-9006-72312FD95D16}"/>
  </hyperlinks>
  <pageMargins left="0.7" right="0.7" top="0.75" bottom="0.75" header="0.3" footer="0.3"/>
  <pageSetup paperSize="4" scale="56"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4E5C5-6D0E-5A4D-82D9-507DC414155A}">
  <sheetPr>
    <pageSetUpPr fitToPage="1"/>
  </sheetPr>
  <dimension ref="A1:P84"/>
  <sheetViews>
    <sheetView topLeftCell="A74" zoomScaleNormal="150" zoomScaleSheetLayoutView="100" workbookViewId="0">
      <selection activeCell="B33" sqref="B33:P84"/>
    </sheetView>
  </sheetViews>
  <sheetFormatPr baseColWidth="10" defaultColWidth="8.83203125" defaultRowHeight="16" x14ac:dyDescent="0.2"/>
  <sheetData>
    <row r="1" spans="1:11" x14ac:dyDescent="0.2">
      <c r="A1" t="s">
        <v>161</v>
      </c>
    </row>
    <row r="4" spans="1:11" ht="15" customHeight="1" x14ac:dyDescent="0.2">
      <c r="B4" s="72" t="s">
        <v>164</v>
      </c>
      <c r="C4" s="72"/>
      <c r="D4" s="72"/>
      <c r="E4" s="72"/>
      <c r="F4" s="72"/>
      <c r="G4" s="72"/>
      <c r="H4" s="72"/>
      <c r="I4" s="72"/>
      <c r="J4" s="72"/>
      <c r="K4" s="72"/>
    </row>
    <row r="5" spans="1:11" x14ac:dyDescent="0.2">
      <c r="B5" s="72"/>
      <c r="C5" s="72"/>
      <c r="D5" s="72"/>
      <c r="E5" s="72"/>
      <c r="F5" s="72"/>
      <c r="G5" s="72"/>
      <c r="H5" s="72"/>
      <c r="I5" s="72"/>
      <c r="J5" s="72"/>
      <c r="K5" s="72"/>
    </row>
    <row r="6" spans="1:11" x14ac:dyDescent="0.2">
      <c r="B6" s="72"/>
      <c r="C6" s="72"/>
      <c r="D6" s="72"/>
      <c r="E6" s="72"/>
      <c r="F6" s="72"/>
      <c r="G6" s="72"/>
      <c r="H6" s="72"/>
      <c r="I6" s="72"/>
      <c r="J6" s="72"/>
      <c r="K6" s="72"/>
    </row>
    <row r="7" spans="1:11" x14ac:dyDescent="0.2">
      <c r="B7" s="72"/>
      <c r="C7" s="72"/>
      <c r="D7" s="72"/>
      <c r="E7" s="72"/>
      <c r="F7" s="72"/>
      <c r="G7" s="72"/>
      <c r="H7" s="72"/>
      <c r="I7" s="72"/>
      <c r="J7" s="72"/>
      <c r="K7" s="72"/>
    </row>
    <row r="8" spans="1:11" x14ac:dyDescent="0.2">
      <c r="B8" s="72"/>
      <c r="C8" s="72"/>
      <c r="D8" s="72"/>
      <c r="E8" s="72"/>
      <c r="F8" s="72"/>
      <c r="G8" s="72"/>
      <c r="H8" s="72"/>
      <c r="I8" s="72"/>
      <c r="J8" s="72"/>
      <c r="K8" s="72"/>
    </row>
    <row r="9" spans="1:11" x14ac:dyDescent="0.2">
      <c r="B9" s="72"/>
      <c r="C9" s="72"/>
      <c r="D9" s="72"/>
      <c r="E9" s="72"/>
      <c r="F9" s="72"/>
      <c r="G9" s="72"/>
      <c r="H9" s="72"/>
      <c r="I9" s="72"/>
      <c r="J9" s="72"/>
      <c r="K9" s="72"/>
    </row>
    <row r="10" spans="1:11" x14ac:dyDescent="0.2">
      <c r="B10" s="72"/>
      <c r="C10" s="72"/>
      <c r="D10" s="72"/>
      <c r="E10" s="72"/>
      <c r="F10" s="72"/>
      <c r="G10" s="72"/>
      <c r="H10" s="72"/>
      <c r="I10" s="72"/>
      <c r="J10" s="72"/>
      <c r="K10" s="72"/>
    </row>
    <row r="11" spans="1:11" x14ac:dyDescent="0.2">
      <c r="B11" s="72"/>
      <c r="C11" s="72"/>
      <c r="D11" s="72"/>
      <c r="E11" s="72"/>
      <c r="F11" s="72"/>
      <c r="G11" s="72"/>
      <c r="H11" s="72"/>
      <c r="I11" s="72"/>
      <c r="J11" s="72"/>
      <c r="K11" s="72"/>
    </row>
    <row r="12" spans="1:11" x14ac:dyDescent="0.2">
      <c r="B12" s="72"/>
      <c r="C12" s="72"/>
      <c r="D12" s="72"/>
      <c r="E12" s="72"/>
      <c r="F12" s="72"/>
      <c r="G12" s="72"/>
      <c r="H12" s="72"/>
      <c r="I12" s="72"/>
      <c r="J12" s="72"/>
      <c r="K12" s="72"/>
    </row>
    <row r="13" spans="1:11" x14ac:dyDescent="0.2">
      <c r="B13" s="72"/>
      <c r="C13" s="72"/>
      <c r="D13" s="72"/>
      <c r="E13" s="72"/>
      <c r="F13" s="72"/>
      <c r="G13" s="72"/>
      <c r="H13" s="72"/>
      <c r="I13" s="72"/>
      <c r="J13" s="72"/>
      <c r="K13" s="72"/>
    </row>
    <row r="14" spans="1:11" x14ac:dyDescent="0.2">
      <c r="B14" s="72"/>
      <c r="C14" s="72"/>
      <c r="D14" s="72"/>
      <c r="E14" s="72"/>
      <c r="F14" s="72"/>
      <c r="G14" s="72"/>
      <c r="H14" s="72"/>
      <c r="I14" s="72"/>
      <c r="J14" s="72"/>
      <c r="K14" s="72"/>
    </row>
    <row r="15" spans="1:11" x14ac:dyDescent="0.2">
      <c r="B15" s="72"/>
      <c r="C15" s="72"/>
      <c r="D15" s="72"/>
      <c r="E15" s="72"/>
      <c r="F15" s="72"/>
      <c r="G15" s="72"/>
      <c r="H15" s="72"/>
      <c r="I15" s="72"/>
      <c r="J15" s="72"/>
      <c r="K15" s="72"/>
    </row>
    <row r="16" spans="1:11" x14ac:dyDescent="0.2">
      <c r="B16" s="72"/>
      <c r="C16" s="72"/>
      <c r="D16" s="72"/>
      <c r="E16" s="72"/>
      <c r="F16" s="72"/>
      <c r="G16" s="72"/>
      <c r="H16" s="72"/>
      <c r="I16" s="72"/>
      <c r="J16" s="72"/>
      <c r="K16" s="72"/>
    </row>
    <row r="17" spans="2:11" x14ac:dyDescent="0.2">
      <c r="B17" s="72"/>
      <c r="C17" s="72"/>
      <c r="D17" s="72"/>
      <c r="E17" s="72"/>
      <c r="F17" s="72"/>
      <c r="G17" s="72"/>
      <c r="H17" s="72"/>
      <c r="I17" s="72"/>
      <c r="J17" s="72"/>
      <c r="K17" s="72"/>
    </row>
    <row r="18" spans="2:11" x14ac:dyDescent="0.2">
      <c r="B18" s="72"/>
      <c r="C18" s="72"/>
      <c r="D18" s="72"/>
      <c r="E18" s="72"/>
      <c r="F18" s="72"/>
      <c r="G18" s="72"/>
      <c r="H18" s="72"/>
      <c r="I18" s="72"/>
      <c r="J18" s="72"/>
      <c r="K18" s="72"/>
    </row>
    <row r="19" spans="2:11" x14ac:dyDescent="0.2">
      <c r="B19" s="72"/>
      <c r="C19" s="72"/>
      <c r="D19" s="72"/>
      <c r="E19" s="72"/>
      <c r="F19" s="72"/>
      <c r="G19" s="72"/>
      <c r="H19" s="72"/>
      <c r="I19" s="72"/>
      <c r="J19" s="72"/>
      <c r="K19" s="72"/>
    </row>
    <row r="20" spans="2:11" x14ac:dyDescent="0.2">
      <c r="B20" s="72"/>
      <c r="C20" s="72"/>
      <c r="D20" s="72"/>
      <c r="E20" s="72"/>
      <c r="F20" s="72"/>
      <c r="G20" s="72"/>
      <c r="H20" s="72"/>
      <c r="I20" s="72"/>
      <c r="J20" s="72"/>
      <c r="K20" s="72"/>
    </row>
    <row r="21" spans="2:11" x14ac:dyDescent="0.2">
      <c r="B21" s="72"/>
      <c r="C21" s="72"/>
      <c r="D21" s="72"/>
      <c r="E21" s="72"/>
      <c r="F21" s="72"/>
      <c r="G21" s="72"/>
      <c r="H21" s="72"/>
      <c r="I21" s="72"/>
      <c r="J21" s="72"/>
      <c r="K21" s="72"/>
    </row>
    <row r="22" spans="2:11" x14ac:dyDescent="0.2">
      <c r="B22" s="72"/>
      <c r="C22" s="72"/>
      <c r="D22" s="72"/>
      <c r="E22" s="72"/>
      <c r="F22" s="72"/>
      <c r="G22" s="72"/>
      <c r="H22" s="72"/>
      <c r="I22" s="72"/>
      <c r="J22" s="72"/>
      <c r="K22" s="72"/>
    </row>
    <row r="23" spans="2:11" x14ac:dyDescent="0.2">
      <c r="B23" s="72"/>
      <c r="C23" s="72"/>
      <c r="D23" s="72"/>
      <c r="E23" s="72"/>
      <c r="F23" s="72"/>
      <c r="G23" s="72"/>
      <c r="H23" s="72"/>
      <c r="I23" s="72"/>
      <c r="J23" s="72"/>
      <c r="K23" s="72"/>
    </row>
    <row r="24" spans="2:11" x14ac:dyDescent="0.2">
      <c r="B24" s="72"/>
      <c r="C24" s="72"/>
      <c r="D24" s="72"/>
      <c r="E24" s="72"/>
      <c r="F24" s="72"/>
      <c r="G24" s="72"/>
      <c r="H24" s="72"/>
      <c r="I24" s="72"/>
      <c r="J24" s="72"/>
      <c r="K24" s="72"/>
    </row>
    <row r="25" spans="2:11" x14ac:dyDescent="0.2">
      <c r="B25" s="72"/>
      <c r="C25" s="72"/>
      <c r="D25" s="72"/>
      <c r="E25" s="72"/>
      <c r="F25" s="72"/>
      <c r="G25" s="72"/>
      <c r="H25" s="72"/>
      <c r="I25" s="72"/>
      <c r="J25" s="72"/>
      <c r="K25" s="72"/>
    </row>
    <row r="26" spans="2:11" x14ac:dyDescent="0.2">
      <c r="B26" s="72"/>
      <c r="C26" s="72"/>
      <c r="D26" s="72"/>
      <c r="E26" s="72"/>
      <c r="F26" s="72"/>
      <c r="G26" s="72"/>
      <c r="H26" s="72"/>
      <c r="I26" s="72"/>
      <c r="J26" s="72"/>
      <c r="K26" s="72"/>
    </row>
    <row r="27" spans="2:11" x14ac:dyDescent="0.2">
      <c r="B27" s="72"/>
      <c r="C27" s="72"/>
      <c r="D27" s="72"/>
      <c r="E27" s="72"/>
      <c r="F27" s="72"/>
      <c r="G27" s="72"/>
      <c r="H27" s="72"/>
      <c r="I27" s="72"/>
      <c r="J27" s="72"/>
      <c r="K27" s="72"/>
    </row>
    <row r="28" spans="2:11" x14ac:dyDescent="0.2">
      <c r="B28" s="72"/>
      <c r="C28" s="72"/>
      <c r="D28" s="72"/>
      <c r="E28" s="72"/>
      <c r="F28" s="72"/>
      <c r="G28" s="72"/>
      <c r="H28" s="72"/>
      <c r="I28" s="72"/>
      <c r="J28" s="72"/>
      <c r="K28" s="72"/>
    </row>
    <row r="29" spans="2:11" x14ac:dyDescent="0.2">
      <c r="B29" s="72"/>
      <c r="C29" s="72"/>
      <c r="D29" s="72"/>
      <c r="E29" s="72"/>
      <c r="F29" s="72"/>
      <c r="G29" s="72"/>
      <c r="H29" s="72"/>
      <c r="I29" s="72"/>
      <c r="J29" s="72"/>
      <c r="K29" s="72"/>
    </row>
    <row r="30" spans="2:11" x14ac:dyDescent="0.2">
      <c r="B30" s="72"/>
      <c r="C30" s="72"/>
      <c r="D30" s="72"/>
      <c r="E30" s="72"/>
      <c r="F30" s="72"/>
      <c r="G30" s="72"/>
      <c r="H30" s="72"/>
      <c r="I30" s="72"/>
      <c r="J30" s="72"/>
      <c r="K30" s="72"/>
    </row>
    <row r="31" spans="2:11" x14ac:dyDescent="0.2">
      <c r="B31" s="72"/>
      <c r="C31" s="72"/>
      <c r="D31" s="72"/>
      <c r="E31" s="72"/>
      <c r="F31" s="72"/>
      <c r="G31" s="72"/>
      <c r="H31" s="72"/>
      <c r="I31" s="72"/>
      <c r="J31" s="72"/>
      <c r="K31" s="72"/>
    </row>
    <row r="33" spans="2:16" x14ac:dyDescent="0.2">
      <c r="B33" s="75" t="s">
        <v>165</v>
      </c>
      <c r="C33" s="73"/>
      <c r="D33" s="73"/>
      <c r="E33" s="73"/>
      <c r="F33" s="73"/>
      <c r="G33" s="73"/>
      <c r="H33" s="73"/>
      <c r="I33" s="73"/>
      <c r="J33" s="73"/>
      <c r="K33" s="73"/>
      <c r="L33" s="73"/>
      <c r="M33" s="73"/>
      <c r="N33" s="73"/>
      <c r="O33" s="73"/>
      <c r="P33" s="73"/>
    </row>
    <row r="34" spans="2:16" x14ac:dyDescent="0.2">
      <c r="B34" s="73"/>
      <c r="C34" s="73"/>
      <c r="D34" s="73"/>
      <c r="E34" s="73"/>
      <c r="F34" s="73"/>
      <c r="G34" s="73"/>
      <c r="H34" s="73"/>
      <c r="I34" s="73"/>
      <c r="J34" s="73"/>
      <c r="K34" s="73"/>
      <c r="L34" s="73"/>
      <c r="M34" s="73"/>
      <c r="N34" s="73"/>
      <c r="O34" s="73"/>
      <c r="P34" s="73"/>
    </row>
    <row r="35" spans="2:16" x14ac:dyDescent="0.2">
      <c r="B35" s="73"/>
      <c r="C35" s="73"/>
      <c r="D35" s="73"/>
      <c r="E35" s="73"/>
      <c r="F35" s="73"/>
      <c r="G35" s="73"/>
      <c r="H35" s="73"/>
      <c r="I35" s="73"/>
      <c r="J35" s="73"/>
      <c r="K35" s="73"/>
      <c r="L35" s="73"/>
      <c r="M35" s="73"/>
      <c r="N35" s="73"/>
      <c r="O35" s="73"/>
      <c r="P35" s="73"/>
    </row>
    <row r="36" spans="2:16" x14ac:dyDescent="0.2">
      <c r="B36" s="73"/>
      <c r="C36" s="73"/>
      <c r="D36" s="73"/>
      <c r="E36" s="73"/>
      <c r="F36" s="73"/>
      <c r="G36" s="73"/>
      <c r="H36" s="73"/>
      <c r="I36" s="73"/>
      <c r="J36" s="73"/>
      <c r="K36" s="73"/>
      <c r="L36" s="73"/>
      <c r="M36" s="73"/>
      <c r="N36" s="73"/>
      <c r="O36" s="73"/>
      <c r="P36" s="73"/>
    </row>
    <row r="37" spans="2:16" x14ac:dyDescent="0.2">
      <c r="B37" s="73"/>
      <c r="C37" s="73"/>
      <c r="D37" s="73"/>
      <c r="E37" s="73"/>
      <c r="F37" s="73"/>
      <c r="G37" s="73"/>
      <c r="H37" s="73"/>
      <c r="I37" s="73"/>
      <c r="J37" s="73"/>
      <c r="K37" s="73"/>
      <c r="L37" s="73"/>
      <c r="M37" s="73"/>
      <c r="N37" s="73"/>
      <c r="O37" s="73"/>
      <c r="P37" s="73"/>
    </row>
    <row r="38" spans="2:16" x14ac:dyDescent="0.2">
      <c r="B38" s="73"/>
      <c r="C38" s="73"/>
      <c r="D38" s="73"/>
      <c r="E38" s="73"/>
      <c r="F38" s="73"/>
      <c r="G38" s="73"/>
      <c r="H38" s="73"/>
      <c r="I38" s="73"/>
      <c r="J38" s="73"/>
      <c r="K38" s="73"/>
      <c r="L38" s="73"/>
      <c r="M38" s="73"/>
      <c r="N38" s="73"/>
      <c r="O38" s="73"/>
      <c r="P38" s="73"/>
    </row>
    <row r="39" spans="2:16" x14ac:dyDescent="0.2">
      <c r="B39" s="73"/>
      <c r="C39" s="73"/>
      <c r="D39" s="73"/>
      <c r="E39" s="73"/>
      <c r="F39" s="73"/>
      <c r="G39" s="73"/>
      <c r="H39" s="73"/>
      <c r="I39" s="73"/>
      <c r="J39" s="73"/>
      <c r="K39" s="73"/>
      <c r="L39" s="73"/>
      <c r="M39" s="73"/>
      <c r="N39" s="73"/>
      <c r="O39" s="73"/>
      <c r="P39" s="73"/>
    </row>
    <row r="40" spans="2:16" x14ac:dyDescent="0.2">
      <c r="B40" s="73"/>
      <c r="C40" s="73"/>
      <c r="D40" s="73"/>
      <c r="E40" s="73"/>
      <c r="F40" s="73"/>
      <c r="G40" s="73"/>
      <c r="H40" s="73"/>
      <c r="I40" s="73"/>
      <c r="J40" s="73"/>
      <c r="K40" s="73"/>
      <c r="L40" s="73"/>
      <c r="M40" s="73"/>
      <c r="N40" s="73"/>
      <c r="O40" s="73"/>
      <c r="P40" s="73"/>
    </row>
    <row r="41" spans="2:16" x14ac:dyDescent="0.2">
      <c r="B41" s="73"/>
      <c r="C41" s="73"/>
      <c r="D41" s="73"/>
      <c r="E41" s="73"/>
      <c r="F41" s="73"/>
      <c r="G41" s="73"/>
      <c r="H41" s="73"/>
      <c r="I41" s="73"/>
      <c r="J41" s="73"/>
      <c r="K41" s="73"/>
      <c r="L41" s="73"/>
      <c r="M41" s="73"/>
      <c r="N41" s="73"/>
      <c r="O41" s="73"/>
      <c r="P41" s="73"/>
    </row>
    <row r="42" spans="2:16" x14ac:dyDescent="0.2">
      <c r="B42" s="73"/>
      <c r="C42" s="73"/>
      <c r="D42" s="73"/>
      <c r="E42" s="73"/>
      <c r="F42" s="73"/>
      <c r="G42" s="73"/>
      <c r="H42" s="73"/>
      <c r="I42" s="73"/>
      <c r="J42" s="73"/>
      <c r="K42" s="73"/>
      <c r="L42" s="73"/>
      <c r="M42" s="73"/>
      <c r="N42" s="73"/>
      <c r="O42" s="73"/>
      <c r="P42" s="73"/>
    </row>
    <row r="43" spans="2:16" x14ac:dyDescent="0.2">
      <c r="B43" s="73"/>
      <c r="C43" s="73"/>
      <c r="D43" s="73"/>
      <c r="E43" s="73"/>
      <c r="F43" s="73"/>
      <c r="G43" s="73"/>
      <c r="H43" s="73"/>
      <c r="I43" s="73"/>
      <c r="J43" s="73"/>
      <c r="K43" s="73"/>
      <c r="L43" s="73"/>
      <c r="M43" s="73"/>
      <c r="N43" s="73"/>
      <c r="O43" s="73"/>
      <c r="P43" s="73"/>
    </row>
    <row r="44" spans="2:16" x14ac:dyDescent="0.2">
      <c r="B44" s="73"/>
      <c r="C44" s="73"/>
      <c r="D44" s="73"/>
      <c r="E44" s="73"/>
      <c r="F44" s="73"/>
      <c r="G44" s="73"/>
      <c r="H44" s="73"/>
      <c r="I44" s="73"/>
      <c r="J44" s="73"/>
      <c r="K44" s="73"/>
      <c r="L44" s="73"/>
      <c r="M44" s="73"/>
      <c r="N44" s="73"/>
      <c r="O44" s="73"/>
      <c r="P44" s="73"/>
    </row>
    <row r="45" spans="2:16" x14ac:dyDescent="0.2">
      <c r="B45" s="73"/>
      <c r="C45" s="73"/>
      <c r="D45" s="73"/>
      <c r="E45" s="73"/>
      <c r="F45" s="73"/>
      <c r="G45" s="73"/>
      <c r="H45" s="73"/>
      <c r="I45" s="73"/>
      <c r="J45" s="73"/>
      <c r="K45" s="73"/>
      <c r="L45" s="73"/>
      <c r="M45" s="73"/>
      <c r="N45" s="73"/>
      <c r="O45" s="73"/>
      <c r="P45" s="73"/>
    </row>
    <row r="46" spans="2:16" x14ac:dyDescent="0.2">
      <c r="B46" s="73"/>
      <c r="C46" s="73"/>
      <c r="D46" s="73"/>
      <c r="E46" s="73"/>
      <c r="F46" s="73"/>
      <c r="G46" s="73"/>
      <c r="H46" s="73"/>
      <c r="I46" s="73"/>
      <c r="J46" s="73"/>
      <c r="K46" s="73"/>
      <c r="L46" s="73"/>
      <c r="M46" s="73"/>
      <c r="N46" s="73"/>
      <c r="O46" s="73"/>
      <c r="P46" s="73"/>
    </row>
    <row r="47" spans="2:16" x14ac:dyDescent="0.2">
      <c r="B47" s="73"/>
      <c r="C47" s="73"/>
      <c r="D47" s="73"/>
      <c r="E47" s="73"/>
      <c r="F47" s="73"/>
      <c r="G47" s="73"/>
      <c r="H47" s="73"/>
      <c r="I47" s="73"/>
      <c r="J47" s="73"/>
      <c r="K47" s="73"/>
      <c r="L47" s="73"/>
      <c r="M47" s="73"/>
      <c r="N47" s="73"/>
      <c r="O47" s="73"/>
      <c r="P47" s="73"/>
    </row>
    <row r="48" spans="2:16" x14ac:dyDescent="0.2">
      <c r="B48" s="73"/>
      <c r="C48" s="73"/>
      <c r="D48" s="73"/>
      <c r="E48" s="73"/>
      <c r="F48" s="73"/>
      <c r="G48" s="73"/>
      <c r="H48" s="73"/>
      <c r="I48" s="73"/>
      <c r="J48" s="73"/>
      <c r="K48" s="73"/>
      <c r="L48" s="73"/>
      <c r="M48" s="73"/>
      <c r="N48" s="73"/>
      <c r="O48" s="73"/>
      <c r="P48" s="73"/>
    </row>
    <row r="49" spans="2:16" x14ac:dyDescent="0.2">
      <c r="B49" s="73"/>
      <c r="C49" s="73"/>
      <c r="D49" s="73"/>
      <c r="E49" s="73"/>
      <c r="F49" s="73"/>
      <c r="G49" s="73"/>
      <c r="H49" s="73"/>
      <c r="I49" s="73"/>
      <c r="J49" s="73"/>
      <c r="K49" s="73"/>
      <c r="L49" s="73"/>
      <c r="M49" s="73"/>
      <c r="N49" s="73"/>
      <c r="O49" s="73"/>
      <c r="P49" s="73"/>
    </row>
    <row r="50" spans="2:16" x14ac:dyDescent="0.2">
      <c r="B50" s="73"/>
      <c r="C50" s="73"/>
      <c r="D50" s="73"/>
      <c r="E50" s="73"/>
      <c r="F50" s="73"/>
      <c r="G50" s="73"/>
      <c r="H50" s="73"/>
      <c r="I50" s="73"/>
      <c r="J50" s="73"/>
      <c r="K50" s="73"/>
      <c r="L50" s="73"/>
      <c r="M50" s="73"/>
      <c r="N50" s="73"/>
      <c r="O50" s="73"/>
      <c r="P50" s="73"/>
    </row>
    <row r="51" spans="2:16" x14ac:dyDescent="0.2">
      <c r="B51" s="73"/>
      <c r="C51" s="73"/>
      <c r="D51" s="73"/>
      <c r="E51" s="73"/>
      <c r="F51" s="73"/>
      <c r="G51" s="73"/>
      <c r="H51" s="73"/>
      <c r="I51" s="73"/>
      <c r="J51" s="73"/>
      <c r="K51" s="73"/>
      <c r="L51" s="73"/>
      <c r="M51" s="73"/>
      <c r="N51" s="73"/>
      <c r="O51" s="73"/>
      <c r="P51" s="73"/>
    </row>
    <row r="52" spans="2:16" x14ac:dyDescent="0.2">
      <c r="B52" s="73"/>
      <c r="C52" s="73"/>
      <c r="D52" s="73"/>
      <c r="E52" s="73"/>
      <c r="F52" s="73"/>
      <c r="G52" s="73"/>
      <c r="H52" s="73"/>
      <c r="I52" s="73"/>
      <c r="J52" s="73"/>
      <c r="K52" s="73"/>
      <c r="L52" s="73"/>
      <c r="M52" s="73"/>
      <c r="N52" s="73"/>
      <c r="O52" s="73"/>
      <c r="P52" s="73"/>
    </row>
    <row r="53" spans="2:16" x14ac:dyDescent="0.2">
      <c r="B53" s="73"/>
      <c r="C53" s="73"/>
      <c r="D53" s="73"/>
      <c r="E53" s="73"/>
      <c r="F53" s="73"/>
      <c r="G53" s="73"/>
      <c r="H53" s="73"/>
      <c r="I53" s="73"/>
      <c r="J53" s="73"/>
      <c r="K53" s="73"/>
      <c r="L53" s="73"/>
      <c r="M53" s="73"/>
      <c r="N53" s="73"/>
      <c r="O53" s="73"/>
      <c r="P53" s="73"/>
    </row>
    <row r="54" spans="2:16" x14ac:dyDescent="0.2">
      <c r="B54" s="73"/>
      <c r="C54" s="73"/>
      <c r="D54" s="73"/>
      <c r="E54" s="73"/>
      <c r="F54" s="73"/>
      <c r="G54" s="73"/>
      <c r="H54" s="73"/>
      <c r="I54" s="73"/>
      <c r="J54" s="73"/>
      <c r="K54" s="73"/>
      <c r="L54" s="73"/>
      <c r="M54" s="73"/>
      <c r="N54" s="73"/>
      <c r="O54" s="73"/>
      <c r="P54" s="73"/>
    </row>
    <row r="55" spans="2:16" x14ac:dyDescent="0.2">
      <c r="B55" s="73"/>
      <c r="C55" s="73"/>
      <c r="D55" s="73"/>
      <c r="E55" s="73"/>
      <c r="F55" s="73"/>
      <c r="G55" s="73"/>
      <c r="H55" s="73"/>
      <c r="I55" s="73"/>
      <c r="J55" s="73"/>
      <c r="K55" s="73"/>
      <c r="L55" s="73"/>
      <c r="M55" s="73"/>
      <c r="N55" s="73"/>
      <c r="O55" s="73"/>
      <c r="P55" s="73"/>
    </row>
    <row r="56" spans="2:16" x14ac:dyDescent="0.2">
      <c r="B56" s="73"/>
      <c r="C56" s="73"/>
      <c r="D56" s="73"/>
      <c r="E56" s="73"/>
      <c r="F56" s="73"/>
      <c r="G56" s="73"/>
      <c r="H56" s="73"/>
      <c r="I56" s="73"/>
      <c r="J56" s="73"/>
      <c r="K56" s="73"/>
      <c r="L56" s="73"/>
      <c r="M56" s="73"/>
      <c r="N56" s="73"/>
      <c r="O56" s="73"/>
      <c r="P56" s="73"/>
    </row>
    <row r="57" spans="2:16" x14ac:dyDescent="0.2">
      <c r="B57" s="73"/>
      <c r="C57" s="73"/>
      <c r="D57" s="73"/>
      <c r="E57" s="73"/>
      <c r="F57" s="73"/>
      <c r="G57" s="73"/>
      <c r="H57" s="73"/>
      <c r="I57" s="73"/>
      <c r="J57" s="73"/>
      <c r="K57" s="73"/>
      <c r="L57" s="73"/>
      <c r="M57" s="73"/>
      <c r="N57" s="73"/>
      <c r="O57" s="73"/>
      <c r="P57" s="73"/>
    </row>
    <row r="58" spans="2:16" x14ac:dyDescent="0.2">
      <c r="B58" s="73"/>
      <c r="C58" s="73"/>
      <c r="D58" s="73"/>
      <c r="E58" s="73"/>
      <c r="F58" s="73"/>
      <c r="G58" s="73"/>
      <c r="H58" s="73"/>
      <c r="I58" s="73"/>
      <c r="J58" s="73"/>
      <c r="K58" s="73"/>
      <c r="L58" s="73"/>
      <c r="M58" s="73"/>
      <c r="N58" s="73"/>
      <c r="O58" s="73"/>
      <c r="P58" s="73"/>
    </row>
    <row r="59" spans="2:16" x14ac:dyDescent="0.2">
      <c r="B59" s="73"/>
      <c r="C59" s="73"/>
      <c r="D59" s="73"/>
      <c r="E59" s="73"/>
      <c r="F59" s="73"/>
      <c r="G59" s="73"/>
      <c r="H59" s="73"/>
      <c r="I59" s="73"/>
      <c r="J59" s="73"/>
      <c r="K59" s="73"/>
      <c r="L59" s="73"/>
      <c r="M59" s="73"/>
      <c r="N59" s="73"/>
      <c r="O59" s="73"/>
      <c r="P59" s="73"/>
    </row>
    <row r="60" spans="2:16" x14ac:dyDescent="0.2">
      <c r="B60" s="73"/>
      <c r="C60" s="73"/>
      <c r="D60" s="73"/>
      <c r="E60" s="73"/>
      <c r="F60" s="73"/>
      <c r="G60" s="73"/>
      <c r="H60" s="73"/>
      <c r="I60" s="73"/>
      <c r="J60" s="73"/>
      <c r="K60" s="73"/>
      <c r="L60" s="73"/>
      <c r="M60" s="73"/>
      <c r="N60" s="73"/>
      <c r="O60" s="73"/>
      <c r="P60" s="73"/>
    </row>
    <row r="61" spans="2:16" x14ac:dyDescent="0.2">
      <c r="B61" s="73"/>
      <c r="C61" s="73"/>
      <c r="D61" s="73"/>
      <c r="E61" s="73"/>
      <c r="F61" s="73"/>
      <c r="G61" s="73"/>
      <c r="H61" s="73"/>
      <c r="I61" s="73"/>
      <c r="J61" s="73"/>
      <c r="K61" s="73"/>
      <c r="L61" s="73"/>
      <c r="M61" s="73"/>
      <c r="N61" s="73"/>
      <c r="O61" s="73"/>
      <c r="P61" s="73"/>
    </row>
    <row r="62" spans="2:16" x14ac:dyDescent="0.2">
      <c r="B62" s="73"/>
      <c r="C62" s="73"/>
      <c r="D62" s="73"/>
      <c r="E62" s="73"/>
      <c r="F62" s="73"/>
      <c r="G62" s="73"/>
      <c r="H62" s="73"/>
      <c r="I62" s="73"/>
      <c r="J62" s="73"/>
      <c r="K62" s="73"/>
      <c r="L62" s="73"/>
      <c r="M62" s="73"/>
      <c r="N62" s="73"/>
      <c r="O62" s="73"/>
      <c r="P62" s="73"/>
    </row>
    <row r="63" spans="2:16" x14ac:dyDescent="0.2">
      <c r="B63" s="73"/>
      <c r="C63" s="73"/>
      <c r="D63" s="73"/>
      <c r="E63" s="73"/>
      <c r="F63" s="73"/>
      <c r="G63" s="73"/>
      <c r="H63" s="73"/>
      <c r="I63" s="73"/>
      <c r="J63" s="73"/>
      <c r="K63" s="73"/>
      <c r="L63" s="73"/>
      <c r="M63" s="73"/>
      <c r="N63" s="73"/>
      <c r="O63" s="73"/>
      <c r="P63" s="73"/>
    </row>
    <row r="64" spans="2:16" x14ac:dyDescent="0.2">
      <c r="B64" s="73"/>
      <c r="C64" s="73"/>
      <c r="D64" s="73"/>
      <c r="E64" s="73"/>
      <c r="F64" s="73"/>
      <c r="G64" s="73"/>
      <c r="H64" s="73"/>
      <c r="I64" s="73"/>
      <c r="J64" s="73"/>
      <c r="K64" s="73"/>
      <c r="L64" s="73"/>
      <c r="M64" s="73"/>
      <c r="N64" s="73"/>
      <c r="O64" s="73"/>
      <c r="P64" s="73"/>
    </row>
    <row r="65" spans="2:16" x14ac:dyDescent="0.2">
      <c r="B65" s="73"/>
      <c r="C65" s="73"/>
      <c r="D65" s="73"/>
      <c r="E65" s="73"/>
      <c r="F65" s="73"/>
      <c r="G65" s="73"/>
      <c r="H65" s="73"/>
      <c r="I65" s="73"/>
      <c r="J65" s="73"/>
      <c r="K65" s="73"/>
      <c r="L65" s="73"/>
      <c r="M65" s="73"/>
      <c r="N65" s="73"/>
      <c r="O65" s="73"/>
      <c r="P65" s="73"/>
    </row>
    <row r="66" spans="2:16" x14ac:dyDescent="0.2">
      <c r="B66" s="73"/>
      <c r="C66" s="73"/>
      <c r="D66" s="73"/>
      <c r="E66" s="73"/>
      <c r="F66" s="73"/>
      <c r="G66" s="73"/>
      <c r="H66" s="73"/>
      <c r="I66" s="73"/>
      <c r="J66" s="73"/>
      <c r="K66" s="73"/>
      <c r="L66" s="73"/>
      <c r="M66" s="73"/>
      <c r="N66" s="73"/>
      <c r="O66" s="73"/>
      <c r="P66" s="73"/>
    </row>
    <row r="67" spans="2:16" x14ac:dyDescent="0.2">
      <c r="B67" s="73"/>
      <c r="C67" s="73"/>
      <c r="D67" s="73"/>
      <c r="E67" s="73"/>
      <c r="F67" s="73"/>
      <c r="G67" s="73"/>
      <c r="H67" s="73"/>
      <c r="I67" s="73"/>
      <c r="J67" s="73"/>
      <c r="K67" s="73"/>
      <c r="L67" s="73"/>
      <c r="M67" s="73"/>
      <c r="N67" s="73"/>
      <c r="O67" s="73"/>
      <c r="P67" s="73"/>
    </row>
    <row r="68" spans="2:16" x14ac:dyDescent="0.2">
      <c r="B68" s="73"/>
      <c r="C68" s="73"/>
      <c r="D68" s="73"/>
      <c r="E68" s="73"/>
      <c r="F68" s="73"/>
      <c r="G68" s="73"/>
      <c r="H68" s="73"/>
      <c r="I68" s="73"/>
      <c r="J68" s="73"/>
      <c r="K68" s="73"/>
      <c r="L68" s="73"/>
      <c r="M68" s="73"/>
      <c r="N68" s="73"/>
      <c r="O68" s="73"/>
      <c r="P68" s="73"/>
    </row>
    <row r="69" spans="2:16" x14ac:dyDescent="0.2">
      <c r="B69" s="73"/>
      <c r="C69" s="73"/>
      <c r="D69" s="73"/>
      <c r="E69" s="73"/>
      <c r="F69" s="73"/>
      <c r="G69" s="73"/>
      <c r="H69" s="73"/>
      <c r="I69" s="73"/>
      <c r="J69" s="73"/>
      <c r="K69" s="73"/>
      <c r="L69" s="73"/>
      <c r="M69" s="73"/>
      <c r="N69" s="73"/>
      <c r="O69" s="73"/>
      <c r="P69" s="73"/>
    </row>
    <row r="70" spans="2:16" x14ac:dyDescent="0.2">
      <c r="B70" s="73"/>
      <c r="C70" s="73"/>
      <c r="D70" s="73"/>
      <c r="E70" s="73"/>
      <c r="F70" s="73"/>
      <c r="G70" s="73"/>
      <c r="H70" s="73"/>
      <c r="I70" s="73"/>
      <c r="J70" s="73"/>
      <c r="K70" s="73"/>
      <c r="L70" s="73"/>
      <c r="M70" s="73"/>
      <c r="N70" s="73"/>
      <c r="O70" s="73"/>
      <c r="P70" s="73"/>
    </row>
    <row r="71" spans="2:16" x14ac:dyDescent="0.2">
      <c r="B71" s="73"/>
      <c r="C71" s="73"/>
      <c r="D71" s="73"/>
      <c r="E71" s="73"/>
      <c r="F71" s="73"/>
      <c r="G71" s="73"/>
      <c r="H71" s="73"/>
      <c r="I71" s="73"/>
      <c r="J71" s="73"/>
      <c r="K71" s="73"/>
      <c r="L71" s="73"/>
      <c r="M71" s="73"/>
      <c r="N71" s="73"/>
      <c r="O71" s="73"/>
      <c r="P71" s="73"/>
    </row>
    <row r="72" spans="2:16" x14ac:dyDescent="0.2">
      <c r="B72" s="73"/>
      <c r="C72" s="73"/>
      <c r="D72" s="73"/>
      <c r="E72" s="73"/>
      <c r="F72" s="73"/>
      <c r="G72" s="73"/>
      <c r="H72" s="73"/>
      <c r="I72" s="73"/>
      <c r="J72" s="73"/>
      <c r="K72" s="73"/>
      <c r="L72" s="73"/>
      <c r="M72" s="73"/>
      <c r="N72" s="73"/>
      <c r="O72" s="73"/>
      <c r="P72" s="73"/>
    </row>
    <row r="73" spans="2:16" x14ac:dyDescent="0.2">
      <c r="B73" s="73"/>
      <c r="C73" s="73"/>
      <c r="D73" s="73"/>
      <c r="E73" s="73"/>
      <c r="F73" s="73"/>
      <c r="G73" s="73"/>
      <c r="H73" s="73"/>
      <c r="I73" s="73"/>
      <c r="J73" s="73"/>
      <c r="K73" s="73"/>
      <c r="L73" s="73"/>
      <c r="M73" s="73"/>
      <c r="N73" s="73"/>
      <c r="O73" s="73"/>
      <c r="P73" s="73"/>
    </row>
    <row r="74" spans="2:16" x14ac:dyDescent="0.2">
      <c r="B74" s="73"/>
      <c r="C74" s="73"/>
      <c r="D74" s="73"/>
      <c r="E74" s="73"/>
      <c r="F74" s="73"/>
      <c r="G74" s="73"/>
      <c r="H74" s="73"/>
      <c r="I74" s="73"/>
      <c r="J74" s="73"/>
      <c r="K74" s="73"/>
      <c r="L74" s="73"/>
      <c r="M74" s="73"/>
      <c r="N74" s="73"/>
      <c r="O74" s="73"/>
      <c r="P74" s="73"/>
    </row>
    <row r="75" spans="2:16" x14ac:dyDescent="0.2">
      <c r="B75" s="73"/>
      <c r="C75" s="73"/>
      <c r="D75" s="73"/>
      <c r="E75" s="73"/>
      <c r="F75" s="73"/>
      <c r="G75" s="73"/>
      <c r="H75" s="73"/>
      <c r="I75" s="73"/>
      <c r="J75" s="73"/>
      <c r="K75" s="73"/>
      <c r="L75" s="73"/>
      <c r="M75" s="73"/>
      <c r="N75" s="73"/>
      <c r="O75" s="73"/>
      <c r="P75" s="73"/>
    </row>
    <row r="76" spans="2:16" x14ac:dyDescent="0.2">
      <c r="B76" s="73"/>
      <c r="C76" s="73"/>
      <c r="D76" s="73"/>
      <c r="E76" s="73"/>
      <c r="F76" s="73"/>
      <c r="G76" s="73"/>
      <c r="H76" s="73"/>
      <c r="I76" s="73"/>
      <c r="J76" s="73"/>
      <c r="K76" s="73"/>
      <c r="L76" s="73"/>
      <c r="M76" s="73"/>
      <c r="N76" s="73"/>
      <c r="O76" s="73"/>
      <c r="P76" s="73"/>
    </row>
    <row r="77" spans="2:16" x14ac:dyDescent="0.2">
      <c r="B77" s="73"/>
      <c r="C77" s="73"/>
      <c r="D77" s="73"/>
      <c r="E77" s="73"/>
      <c r="F77" s="73"/>
      <c r="G77" s="73"/>
      <c r="H77" s="73"/>
      <c r="I77" s="73"/>
      <c r="J77" s="73"/>
      <c r="K77" s="73"/>
      <c r="L77" s="73"/>
      <c r="M77" s="73"/>
      <c r="N77" s="73"/>
      <c r="O77" s="73"/>
      <c r="P77" s="73"/>
    </row>
    <row r="78" spans="2:16" x14ac:dyDescent="0.2">
      <c r="B78" s="73"/>
      <c r="C78" s="73"/>
      <c r="D78" s="73"/>
      <c r="E78" s="73"/>
      <c r="F78" s="73"/>
      <c r="G78" s="73"/>
      <c r="H78" s="73"/>
      <c r="I78" s="73"/>
      <c r="J78" s="73"/>
      <c r="K78" s="73"/>
      <c r="L78" s="73"/>
      <c r="M78" s="73"/>
      <c r="N78" s="73"/>
      <c r="O78" s="73"/>
      <c r="P78" s="73"/>
    </row>
    <row r="79" spans="2:16" x14ac:dyDescent="0.2">
      <c r="B79" s="73"/>
      <c r="C79" s="73"/>
      <c r="D79" s="73"/>
      <c r="E79" s="73"/>
      <c r="F79" s="73"/>
      <c r="G79" s="73"/>
      <c r="H79" s="73"/>
      <c r="I79" s="73"/>
      <c r="J79" s="73"/>
      <c r="K79" s="73"/>
      <c r="L79" s="73"/>
      <c r="M79" s="73"/>
      <c r="N79" s="73"/>
      <c r="O79" s="73"/>
      <c r="P79" s="73"/>
    </row>
    <row r="80" spans="2:16" x14ac:dyDescent="0.2">
      <c r="B80" s="73"/>
      <c r="C80" s="73"/>
      <c r="D80" s="73"/>
      <c r="E80" s="73"/>
      <c r="F80" s="73"/>
      <c r="G80" s="73"/>
      <c r="H80" s="73"/>
      <c r="I80" s="73"/>
      <c r="J80" s="73"/>
      <c r="K80" s="73"/>
      <c r="L80" s="73"/>
      <c r="M80" s="73"/>
      <c r="N80" s="73"/>
      <c r="O80" s="73"/>
      <c r="P80" s="73"/>
    </row>
    <row r="81" spans="2:16" x14ac:dyDescent="0.2">
      <c r="B81" s="73"/>
      <c r="C81" s="73"/>
      <c r="D81" s="73"/>
      <c r="E81" s="73"/>
      <c r="F81" s="73"/>
      <c r="G81" s="73"/>
      <c r="H81" s="73"/>
      <c r="I81" s="73"/>
      <c r="J81" s="73"/>
      <c r="K81" s="73"/>
      <c r="L81" s="73"/>
      <c r="M81" s="73"/>
      <c r="N81" s="73"/>
      <c r="O81" s="73"/>
      <c r="P81" s="73"/>
    </row>
    <row r="82" spans="2:16" x14ac:dyDescent="0.2">
      <c r="B82" s="73"/>
      <c r="C82" s="73"/>
      <c r="D82" s="73"/>
      <c r="E82" s="73"/>
      <c r="F82" s="73"/>
      <c r="G82" s="73"/>
      <c r="H82" s="73"/>
      <c r="I82" s="73"/>
      <c r="J82" s="73"/>
      <c r="K82" s="73"/>
      <c r="L82" s="73"/>
      <c r="M82" s="73"/>
      <c r="N82" s="73"/>
      <c r="O82" s="73"/>
      <c r="P82" s="73"/>
    </row>
    <row r="83" spans="2:16" x14ac:dyDescent="0.2">
      <c r="B83" s="73"/>
      <c r="C83" s="73"/>
      <c r="D83" s="73"/>
      <c r="E83" s="73"/>
      <c r="F83" s="73"/>
      <c r="G83" s="73"/>
      <c r="H83" s="73"/>
      <c r="I83" s="73"/>
      <c r="J83" s="73"/>
      <c r="K83" s="73"/>
      <c r="L83" s="73"/>
      <c r="M83" s="73"/>
      <c r="N83" s="73"/>
      <c r="O83" s="73"/>
      <c r="P83" s="73"/>
    </row>
    <row r="84" spans="2:16" x14ac:dyDescent="0.2">
      <c r="B84" s="73"/>
      <c r="C84" s="73"/>
      <c r="D84" s="73"/>
      <c r="E84" s="73"/>
      <c r="F84" s="73"/>
      <c r="G84" s="73"/>
      <c r="H84" s="73"/>
      <c r="I84" s="73"/>
      <c r="J84" s="73"/>
      <c r="K84" s="73"/>
      <c r="L84" s="73"/>
      <c r="M84" s="73"/>
      <c r="N84" s="73"/>
      <c r="O84" s="73"/>
      <c r="P84" s="73"/>
    </row>
  </sheetData>
  <mergeCells count="2">
    <mergeCell ref="B4:K31"/>
    <mergeCell ref="B33:P84"/>
  </mergeCells>
  <pageMargins left="0.7" right="0.7" top="0.75" bottom="0.75" header="0.3" footer="0.3"/>
  <pageSetup paperSize="4" scale="5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44"/>
  <sheetViews>
    <sheetView topLeftCell="A27" workbookViewId="0">
      <selection activeCell="N12" sqref="N12"/>
    </sheetView>
  </sheetViews>
  <sheetFormatPr baseColWidth="10" defaultColWidth="10.83203125" defaultRowHeight="16" x14ac:dyDescent="0.2"/>
  <cols>
    <col min="2" max="2" width="33.1640625" customWidth="1"/>
    <col min="3" max="3" width="15.6640625" customWidth="1"/>
    <col min="4" max="4" width="13.1640625" customWidth="1"/>
    <col min="5" max="5" width="18.1640625" customWidth="1"/>
    <col min="6" max="6" width="18.6640625" customWidth="1"/>
    <col min="8" max="8" width="14.33203125" customWidth="1"/>
    <col min="9" max="9" width="21.33203125" customWidth="1"/>
  </cols>
  <sheetData>
    <row r="1" spans="1:9" x14ac:dyDescent="0.2">
      <c r="A1" t="s">
        <v>34</v>
      </c>
    </row>
    <row r="2" spans="1:9" x14ac:dyDescent="0.2">
      <c r="H2" s="49" t="s">
        <v>283</v>
      </c>
    </row>
    <row r="3" spans="1:9" x14ac:dyDescent="0.2">
      <c r="B3" t="s">
        <v>82</v>
      </c>
    </row>
    <row r="5" spans="1:9" x14ac:dyDescent="0.2">
      <c r="B5" t="s">
        <v>35</v>
      </c>
      <c r="C5" t="s">
        <v>51</v>
      </c>
      <c r="D5" t="s">
        <v>52</v>
      </c>
      <c r="E5" t="s">
        <v>36</v>
      </c>
      <c r="F5" t="s">
        <v>159</v>
      </c>
      <c r="G5" t="s">
        <v>37</v>
      </c>
      <c r="H5" t="s">
        <v>38</v>
      </c>
      <c r="I5" t="s">
        <v>81</v>
      </c>
    </row>
    <row r="6" spans="1:9" x14ac:dyDescent="0.2">
      <c r="A6">
        <v>1</v>
      </c>
      <c r="B6" t="s">
        <v>39</v>
      </c>
      <c r="C6" t="s">
        <v>53</v>
      </c>
      <c r="D6" s="6">
        <v>40000</v>
      </c>
      <c r="E6" s="6">
        <v>40000</v>
      </c>
      <c r="F6">
        <v>30</v>
      </c>
      <c r="G6" s="7">
        <v>0.02</v>
      </c>
      <c r="H6" s="48">
        <f>((1+G6)^F6)*E6</f>
        <v>72454.463364134135</v>
      </c>
      <c r="I6" s="6">
        <f>H6/F6</f>
        <v>2415.148778804471</v>
      </c>
    </row>
    <row r="7" spans="1:9" x14ac:dyDescent="0.2">
      <c r="A7">
        <v>2</v>
      </c>
      <c r="B7" t="s">
        <v>40</v>
      </c>
      <c r="C7" t="s">
        <v>53</v>
      </c>
      <c r="D7" s="48">
        <v>1125000</v>
      </c>
      <c r="E7" s="48">
        <v>1125000</v>
      </c>
      <c r="F7">
        <v>30</v>
      </c>
      <c r="G7" s="7">
        <v>0.04</v>
      </c>
      <c r="H7" s="48">
        <f t="shared" ref="H7:H18" si="0">((1+G7)^F7)*E7</f>
        <v>3648822.1987809851</v>
      </c>
      <c r="I7" s="6">
        <f t="shared" ref="I7:I18" si="1">H7/F7</f>
        <v>121627.40662603284</v>
      </c>
    </row>
    <row r="8" spans="1:9" x14ac:dyDescent="0.2">
      <c r="A8">
        <v>3</v>
      </c>
      <c r="B8" t="s">
        <v>41</v>
      </c>
      <c r="C8" t="s">
        <v>53</v>
      </c>
      <c r="D8" s="6">
        <v>200000</v>
      </c>
      <c r="E8" s="6">
        <v>200000</v>
      </c>
      <c r="F8">
        <v>20</v>
      </c>
      <c r="G8" s="7">
        <v>0.04</v>
      </c>
      <c r="H8" s="48">
        <f t="shared" si="0"/>
        <v>438224.62860668427</v>
      </c>
      <c r="I8" s="6">
        <f t="shared" si="1"/>
        <v>21911.231430334214</v>
      </c>
    </row>
    <row r="9" spans="1:9" x14ac:dyDescent="0.2">
      <c r="A9">
        <v>4</v>
      </c>
      <c r="B9" t="s">
        <v>42</v>
      </c>
      <c r="C9" t="s">
        <v>54</v>
      </c>
      <c r="D9" s="6">
        <v>35</v>
      </c>
      <c r="E9" s="6">
        <v>42700</v>
      </c>
      <c r="F9">
        <v>30</v>
      </c>
      <c r="G9" s="7">
        <v>0.03</v>
      </c>
      <c r="H9" s="48">
        <f t="shared" si="0"/>
        <v>103644.10751979845</v>
      </c>
      <c r="I9" s="6">
        <f t="shared" si="1"/>
        <v>3454.8035839932813</v>
      </c>
    </row>
    <row r="10" spans="1:9" x14ac:dyDescent="0.2">
      <c r="A10">
        <v>5</v>
      </c>
      <c r="B10" t="s">
        <v>43</v>
      </c>
      <c r="C10" t="s">
        <v>55</v>
      </c>
      <c r="D10" s="6">
        <v>25</v>
      </c>
      <c r="E10" s="6">
        <v>727400</v>
      </c>
      <c r="F10">
        <v>30</v>
      </c>
      <c r="G10" s="7">
        <v>0.03</v>
      </c>
      <c r="H10" s="48">
        <f t="shared" si="0"/>
        <v>1765590.7215433579</v>
      </c>
      <c r="I10" s="6">
        <f t="shared" si="1"/>
        <v>58853.024051445267</v>
      </c>
    </row>
    <row r="11" spans="1:9" x14ac:dyDescent="0.2">
      <c r="A11">
        <v>6</v>
      </c>
      <c r="B11" t="s">
        <v>44</v>
      </c>
      <c r="C11" t="s">
        <v>56</v>
      </c>
      <c r="D11" s="6">
        <v>22</v>
      </c>
      <c r="E11" s="6">
        <v>33000</v>
      </c>
      <c r="F11">
        <v>30</v>
      </c>
      <c r="G11" s="7">
        <v>0.03</v>
      </c>
      <c r="H11" s="48">
        <f t="shared" si="0"/>
        <v>80099.661549258744</v>
      </c>
      <c r="I11" s="6">
        <f t="shared" si="1"/>
        <v>2669.9887183086248</v>
      </c>
    </row>
    <row r="12" spans="1:9" x14ac:dyDescent="0.2">
      <c r="A12">
        <v>7</v>
      </c>
      <c r="B12" t="s">
        <v>45</v>
      </c>
      <c r="C12" t="s">
        <v>59</v>
      </c>
      <c r="D12" s="6">
        <v>1500</v>
      </c>
      <c r="E12" s="6">
        <v>22500</v>
      </c>
      <c r="F12">
        <v>9</v>
      </c>
      <c r="G12" s="7">
        <v>0.04</v>
      </c>
      <c r="H12" s="48">
        <f t="shared" si="0"/>
        <v>32024.515779483416</v>
      </c>
      <c r="I12" s="6">
        <f t="shared" si="1"/>
        <v>3558.2795310537131</v>
      </c>
    </row>
    <row r="13" spans="1:9" x14ac:dyDescent="0.2">
      <c r="A13">
        <v>8</v>
      </c>
      <c r="B13" t="s">
        <v>46</v>
      </c>
      <c r="C13" t="s">
        <v>60</v>
      </c>
      <c r="D13" s="6">
        <v>3800</v>
      </c>
      <c r="E13" s="6">
        <v>19000</v>
      </c>
      <c r="F13">
        <v>25</v>
      </c>
      <c r="G13" s="7">
        <v>0.03</v>
      </c>
      <c r="H13" s="48">
        <f t="shared" si="0"/>
        <v>39781.780663430065</v>
      </c>
      <c r="I13" s="6">
        <f t="shared" si="1"/>
        <v>1591.2712265372027</v>
      </c>
    </row>
    <row r="14" spans="1:9" x14ac:dyDescent="0.2">
      <c r="A14">
        <v>9</v>
      </c>
      <c r="B14" t="s">
        <v>47</v>
      </c>
      <c r="C14" t="s">
        <v>58</v>
      </c>
      <c r="D14" s="6">
        <v>5</v>
      </c>
      <c r="E14" s="6">
        <v>15000</v>
      </c>
      <c r="F14">
        <v>15</v>
      </c>
      <c r="G14" s="7">
        <v>0.02</v>
      </c>
      <c r="H14" s="48">
        <f t="shared" si="0"/>
        <v>20188.02507486194</v>
      </c>
      <c r="I14" s="6">
        <f t="shared" si="1"/>
        <v>1345.8683383241294</v>
      </c>
    </row>
    <row r="15" spans="1:9" x14ac:dyDescent="0.2">
      <c r="A15">
        <v>10</v>
      </c>
      <c r="B15" t="s">
        <v>48</v>
      </c>
      <c r="C15" t="s">
        <v>57</v>
      </c>
      <c r="D15" s="6">
        <v>250</v>
      </c>
      <c r="E15" s="6">
        <v>51250</v>
      </c>
      <c r="F15">
        <v>6</v>
      </c>
      <c r="G15" s="7">
        <v>0.03</v>
      </c>
      <c r="H15" s="48">
        <f t="shared" si="0"/>
        <v>61195.180197111244</v>
      </c>
      <c r="I15" s="6">
        <f t="shared" si="1"/>
        <v>10199.196699518541</v>
      </c>
    </row>
    <row r="16" spans="1:9" x14ac:dyDescent="0.2">
      <c r="A16">
        <v>11</v>
      </c>
      <c r="B16" t="s">
        <v>49</v>
      </c>
      <c r="C16" t="s">
        <v>53</v>
      </c>
      <c r="D16" s="6">
        <v>150000</v>
      </c>
      <c r="E16" s="6">
        <v>150000</v>
      </c>
      <c r="F16">
        <v>30</v>
      </c>
      <c r="G16" s="7">
        <v>0.02</v>
      </c>
      <c r="H16" s="48">
        <f t="shared" si="0"/>
        <v>271704.23761550302</v>
      </c>
      <c r="I16" s="6">
        <f t="shared" si="1"/>
        <v>9056.8079205167669</v>
      </c>
    </row>
    <row r="17" spans="1:11" x14ac:dyDescent="0.2">
      <c r="A17">
        <v>12</v>
      </c>
      <c r="B17" t="s">
        <v>50</v>
      </c>
      <c r="C17" t="s">
        <v>53</v>
      </c>
      <c r="D17" s="6">
        <v>200000</v>
      </c>
      <c r="E17" s="6">
        <v>200000</v>
      </c>
      <c r="F17">
        <v>30</v>
      </c>
      <c r="G17" s="7">
        <v>0.02</v>
      </c>
      <c r="H17" s="48">
        <f t="shared" si="0"/>
        <v>362272.31682067068</v>
      </c>
      <c r="I17" s="6">
        <f t="shared" si="1"/>
        <v>12075.743894022356</v>
      </c>
    </row>
    <row r="18" spans="1:11" x14ac:dyDescent="0.2">
      <c r="A18" s="49">
        <v>13</v>
      </c>
      <c r="B18" s="49" t="s">
        <v>281</v>
      </c>
      <c r="C18" s="49" t="s">
        <v>282</v>
      </c>
      <c r="D18" s="48">
        <v>468000</v>
      </c>
      <c r="E18" s="48">
        <v>468000</v>
      </c>
      <c r="F18" s="49">
        <v>30</v>
      </c>
      <c r="G18" s="50">
        <v>0.02</v>
      </c>
      <c r="H18" s="48">
        <f t="shared" si="0"/>
        <v>847717.22136036947</v>
      </c>
      <c r="I18" s="6">
        <f t="shared" si="1"/>
        <v>28257.240712012317</v>
      </c>
    </row>
    <row r="19" spans="1:11" x14ac:dyDescent="0.2">
      <c r="E19" s="6">
        <f>SUM(E6:E18)</f>
        <v>3093850</v>
      </c>
      <c r="H19" s="48">
        <f>SUM(H6:H18)</f>
        <v>7743719.0588756483</v>
      </c>
      <c r="I19" s="6">
        <f>SUM(I6:I18)</f>
        <v>277016.01151090371</v>
      </c>
    </row>
    <row r="21" spans="1:11" x14ac:dyDescent="0.2">
      <c r="B21" t="s">
        <v>83</v>
      </c>
      <c r="H21" s="6"/>
      <c r="I21" s="6">
        <f>36200*0.4</f>
        <v>14480</v>
      </c>
      <c r="K21" s="49" t="s">
        <v>280</v>
      </c>
    </row>
    <row r="22" spans="1:11" x14ac:dyDescent="0.2">
      <c r="I22" s="6"/>
    </row>
    <row r="23" spans="1:11" x14ac:dyDescent="0.2">
      <c r="B23" t="s">
        <v>84</v>
      </c>
      <c r="I23" s="6">
        <f>36200*0.2</f>
        <v>7240</v>
      </c>
      <c r="K23" s="49" t="s">
        <v>280</v>
      </c>
    </row>
    <row r="25" spans="1:11" x14ac:dyDescent="0.2">
      <c r="B25" t="s">
        <v>85</v>
      </c>
      <c r="I25" s="6">
        <f>SUM(I19:I23)</f>
        <v>298736.01151090371</v>
      </c>
    </row>
    <row r="28" spans="1:11" x14ac:dyDescent="0.2">
      <c r="B28" t="s">
        <v>160</v>
      </c>
    </row>
    <row r="30" spans="1:11" x14ac:dyDescent="0.2">
      <c r="B30" t="s">
        <v>35</v>
      </c>
      <c r="C30" t="s">
        <v>51</v>
      </c>
      <c r="D30" t="s">
        <v>52</v>
      </c>
      <c r="E30" t="s">
        <v>36</v>
      </c>
      <c r="F30" t="s">
        <v>159</v>
      </c>
      <c r="G30" t="s">
        <v>37</v>
      </c>
      <c r="H30" t="s">
        <v>38</v>
      </c>
    </row>
    <row r="31" spans="1:11" x14ac:dyDescent="0.2">
      <c r="A31">
        <v>1</v>
      </c>
      <c r="B31" t="s">
        <v>39</v>
      </c>
      <c r="C31" t="s">
        <v>53</v>
      </c>
      <c r="D31" s="6">
        <v>40000</v>
      </c>
      <c r="E31" s="6">
        <v>40000</v>
      </c>
      <c r="F31">
        <v>20</v>
      </c>
      <c r="G31" s="7">
        <v>0.02</v>
      </c>
      <c r="H31" s="48">
        <f>((1+G31)^F31)*E31</f>
        <v>59437.895839134173</v>
      </c>
    </row>
    <row r="32" spans="1:11" x14ac:dyDescent="0.2">
      <c r="A32">
        <v>2</v>
      </c>
      <c r="B32" t="s">
        <v>40</v>
      </c>
      <c r="C32" t="s">
        <v>53</v>
      </c>
      <c r="D32" s="48">
        <v>1125000</v>
      </c>
      <c r="E32" s="48">
        <v>1125000</v>
      </c>
      <c r="F32">
        <v>20</v>
      </c>
      <c r="G32" s="7">
        <v>0.04</v>
      </c>
      <c r="H32" s="48">
        <f>((1+G32)^F32)*E32</f>
        <v>2465013.5359125989</v>
      </c>
    </row>
    <row r="33" spans="1:8" x14ac:dyDescent="0.2">
      <c r="A33">
        <v>3</v>
      </c>
      <c r="B33" t="s">
        <v>41</v>
      </c>
      <c r="C33" t="s">
        <v>53</v>
      </c>
      <c r="D33" s="6">
        <v>200000</v>
      </c>
      <c r="E33" s="6">
        <v>200000</v>
      </c>
      <c r="F33">
        <v>20</v>
      </c>
      <c r="G33" s="7">
        <v>0.04</v>
      </c>
      <c r="H33" s="48">
        <f>((1+G33)^F33)*E33</f>
        <v>438224.62860668427</v>
      </c>
    </row>
    <row r="34" spans="1:8" x14ac:dyDescent="0.2">
      <c r="A34">
        <v>4</v>
      </c>
      <c r="B34" t="s">
        <v>42</v>
      </c>
      <c r="C34" t="s">
        <v>54</v>
      </c>
      <c r="D34" s="6">
        <v>35</v>
      </c>
      <c r="E34" s="6">
        <v>42700</v>
      </c>
      <c r="F34">
        <v>20</v>
      </c>
      <c r="G34" s="7">
        <v>0.03</v>
      </c>
      <c r="H34" s="48">
        <f t="shared" ref="H34:H43" si="2">((1+G34)^F34)*E34</f>
        <v>77120.949720383942</v>
      </c>
    </row>
    <row r="35" spans="1:8" x14ac:dyDescent="0.2">
      <c r="A35">
        <v>5</v>
      </c>
      <c r="B35" t="s">
        <v>43</v>
      </c>
      <c r="C35" t="s">
        <v>55</v>
      </c>
      <c r="D35" s="6">
        <v>25</v>
      </c>
      <c r="E35" s="6">
        <v>727400</v>
      </c>
      <c r="F35">
        <v>20</v>
      </c>
      <c r="G35" s="7">
        <v>0.03</v>
      </c>
      <c r="H35" s="48">
        <f t="shared" si="2"/>
        <v>1313765.3120985313</v>
      </c>
    </row>
    <row r="36" spans="1:8" x14ac:dyDescent="0.2">
      <c r="A36">
        <v>6</v>
      </c>
      <c r="B36" t="s">
        <v>44</v>
      </c>
      <c r="C36" t="s">
        <v>56</v>
      </c>
      <c r="D36" s="6">
        <v>22</v>
      </c>
      <c r="E36" s="6">
        <v>33000</v>
      </c>
      <c r="F36">
        <v>20</v>
      </c>
      <c r="G36" s="7">
        <v>0.03</v>
      </c>
      <c r="H36" s="48">
        <f t="shared" si="2"/>
        <v>59601.670744090639</v>
      </c>
    </row>
    <row r="37" spans="1:8" x14ac:dyDescent="0.2">
      <c r="A37">
        <v>7</v>
      </c>
      <c r="B37" t="s">
        <v>45</v>
      </c>
      <c r="C37" t="s">
        <v>59</v>
      </c>
      <c r="D37" s="6">
        <v>1500</v>
      </c>
      <c r="E37" s="6">
        <v>22500</v>
      </c>
      <c r="F37">
        <v>20</v>
      </c>
      <c r="G37" s="7">
        <v>0.04</v>
      </c>
      <c r="H37" s="48">
        <f t="shared" si="2"/>
        <v>49300.270718251981</v>
      </c>
    </row>
    <row r="38" spans="1:8" x14ac:dyDescent="0.2">
      <c r="A38">
        <v>8</v>
      </c>
      <c r="B38" t="s">
        <v>46</v>
      </c>
      <c r="C38" t="s">
        <v>60</v>
      </c>
      <c r="D38" s="6">
        <v>3800</v>
      </c>
      <c r="E38" s="6">
        <v>19000</v>
      </c>
      <c r="F38">
        <v>20</v>
      </c>
      <c r="G38" s="7">
        <v>0.03</v>
      </c>
      <c r="H38" s="48">
        <f t="shared" si="2"/>
        <v>34316.11345871885</v>
      </c>
    </row>
    <row r="39" spans="1:8" x14ac:dyDescent="0.2">
      <c r="A39">
        <v>9</v>
      </c>
      <c r="B39" t="s">
        <v>47</v>
      </c>
      <c r="C39" t="s">
        <v>58</v>
      </c>
      <c r="D39" s="6">
        <v>5</v>
      </c>
      <c r="E39" s="6">
        <v>15000</v>
      </c>
      <c r="F39">
        <v>20</v>
      </c>
      <c r="G39" s="7">
        <v>0.02</v>
      </c>
      <c r="H39" s="48">
        <f t="shared" si="2"/>
        <v>22289.210939675315</v>
      </c>
    </row>
    <row r="40" spans="1:8" x14ac:dyDescent="0.2">
      <c r="A40">
        <v>10</v>
      </c>
      <c r="B40" t="s">
        <v>48</v>
      </c>
      <c r="C40" t="s">
        <v>57</v>
      </c>
      <c r="D40" s="6">
        <v>250</v>
      </c>
      <c r="E40" s="6">
        <v>51250</v>
      </c>
      <c r="F40">
        <v>20</v>
      </c>
      <c r="G40" s="7">
        <v>0.03</v>
      </c>
      <c r="H40" s="48">
        <f t="shared" si="2"/>
        <v>92563.200776807425</v>
      </c>
    </row>
    <row r="41" spans="1:8" x14ac:dyDescent="0.2">
      <c r="A41">
        <v>11</v>
      </c>
      <c r="B41" t="s">
        <v>49</v>
      </c>
      <c r="C41" t="s">
        <v>53</v>
      </c>
      <c r="D41" s="6">
        <v>150000</v>
      </c>
      <c r="E41" s="6">
        <v>150000</v>
      </c>
      <c r="F41">
        <v>20</v>
      </c>
      <c r="G41" s="7">
        <v>0.02</v>
      </c>
      <c r="H41" s="48">
        <f t="shared" si="2"/>
        <v>222892.10939675313</v>
      </c>
    </row>
    <row r="42" spans="1:8" x14ac:dyDescent="0.2">
      <c r="A42">
        <v>12</v>
      </c>
      <c r="B42" t="s">
        <v>50</v>
      </c>
      <c r="C42" t="s">
        <v>53</v>
      </c>
      <c r="D42" s="6">
        <v>200000</v>
      </c>
      <c r="E42" s="6">
        <v>200000</v>
      </c>
      <c r="F42">
        <v>20</v>
      </c>
      <c r="G42" s="7">
        <v>0.02</v>
      </c>
      <c r="H42" s="48">
        <f t="shared" si="2"/>
        <v>297189.47919567087</v>
      </c>
    </row>
    <row r="43" spans="1:8" x14ac:dyDescent="0.2">
      <c r="A43" s="49">
        <v>13</v>
      </c>
      <c r="B43" s="49" t="s">
        <v>281</v>
      </c>
      <c r="C43" s="49" t="s">
        <v>282</v>
      </c>
      <c r="D43" s="48">
        <v>468000</v>
      </c>
      <c r="E43" s="48">
        <v>468000</v>
      </c>
      <c r="F43" s="49">
        <v>20</v>
      </c>
      <c r="G43" s="50">
        <v>0.02</v>
      </c>
      <c r="H43" s="48">
        <f t="shared" si="2"/>
        <v>695423.38131786976</v>
      </c>
    </row>
    <row r="44" spans="1:8" x14ac:dyDescent="0.2">
      <c r="E44" s="6">
        <f>SUM(E31:E43)</f>
        <v>3093850</v>
      </c>
      <c r="H44" s="6">
        <f>SUM(H31:H43)</f>
        <v>5827137.758725171</v>
      </c>
    </row>
  </sheetData>
  <pageMargins left="0.75" right="0.75" top="1" bottom="1" header="0.5" footer="0.5"/>
  <pageSetup paperSize="4" scale="6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4B1D8-42D7-3046-8182-81EDD70B22A1}">
  <dimension ref="B2:AD83"/>
  <sheetViews>
    <sheetView zoomScale="125" zoomScaleNormal="125" zoomScaleSheetLayoutView="100" workbookViewId="0">
      <selection activeCell="P89" sqref="P89"/>
    </sheetView>
  </sheetViews>
  <sheetFormatPr baseColWidth="10" defaultColWidth="8.83203125" defaultRowHeight="16" x14ac:dyDescent="0.2"/>
  <cols>
    <col min="1" max="1" width="9.33203125" customWidth="1"/>
    <col min="2" max="2" width="18.1640625" customWidth="1"/>
    <col min="3" max="3" width="29.6640625" customWidth="1"/>
    <col min="4" max="4" width="9.33203125" customWidth="1"/>
    <col min="5" max="5" width="12.83203125" customWidth="1"/>
    <col min="6" max="6" width="13.6640625" customWidth="1"/>
    <col min="7" max="7" width="18.1640625" customWidth="1"/>
    <col min="8" max="8" width="15.6640625" customWidth="1"/>
  </cols>
  <sheetData>
    <row r="2" spans="2:7" ht="34" x14ac:dyDescent="0.2">
      <c r="B2" s="16" t="s">
        <v>171</v>
      </c>
      <c r="C2" t="s">
        <v>166</v>
      </c>
      <c r="E2" t="s">
        <v>167</v>
      </c>
      <c r="F2" t="s">
        <v>168</v>
      </c>
      <c r="G2" t="s">
        <v>172</v>
      </c>
    </row>
    <row r="4" spans="2:7" ht="51" x14ac:dyDescent="0.2">
      <c r="B4" t="s">
        <v>173</v>
      </c>
      <c r="C4" s="16" t="s">
        <v>174</v>
      </c>
      <c r="E4" s="16" t="s">
        <v>175</v>
      </c>
      <c r="F4" t="s">
        <v>169</v>
      </c>
      <c r="G4" t="s">
        <v>169</v>
      </c>
    </row>
    <row r="6" spans="2:7" ht="51" x14ac:dyDescent="0.2">
      <c r="B6" t="s">
        <v>176</v>
      </c>
      <c r="C6" s="16" t="s">
        <v>177</v>
      </c>
      <c r="E6" s="16" t="s">
        <v>178</v>
      </c>
      <c r="F6" t="s">
        <v>169</v>
      </c>
      <c r="G6" t="s">
        <v>169</v>
      </c>
    </row>
    <row r="8" spans="2:7" ht="51" x14ac:dyDescent="0.2">
      <c r="B8" t="s">
        <v>179</v>
      </c>
      <c r="C8" t="s">
        <v>170</v>
      </c>
      <c r="E8" s="16" t="s">
        <v>180</v>
      </c>
      <c r="F8" s="16" t="s">
        <v>181</v>
      </c>
      <c r="G8" t="s">
        <v>169</v>
      </c>
    </row>
    <row r="12" spans="2:7" ht="85" x14ac:dyDescent="0.2">
      <c r="B12" t="s">
        <v>182</v>
      </c>
      <c r="C12" s="16" t="s">
        <v>188</v>
      </c>
      <c r="D12" s="16" t="s">
        <v>189</v>
      </c>
      <c r="E12" s="16" t="s">
        <v>190</v>
      </c>
      <c r="F12" s="16" t="s">
        <v>191</v>
      </c>
    </row>
    <row r="13" spans="2:7" x14ac:dyDescent="0.2">
      <c r="B13" t="s">
        <v>183</v>
      </c>
      <c r="C13">
        <v>0.61</v>
      </c>
      <c r="D13">
        <v>11.46</v>
      </c>
      <c r="E13">
        <v>0.7</v>
      </c>
      <c r="F13">
        <v>12.77</v>
      </c>
    </row>
    <row r="14" spans="2:7" x14ac:dyDescent="0.2">
      <c r="B14" t="s">
        <v>184</v>
      </c>
      <c r="C14">
        <v>0.26</v>
      </c>
      <c r="D14">
        <v>0</v>
      </c>
      <c r="E14">
        <v>0</v>
      </c>
      <c r="F14">
        <v>0.26</v>
      </c>
    </row>
    <row r="15" spans="2:7" x14ac:dyDescent="0.2">
      <c r="B15" t="s">
        <v>185</v>
      </c>
      <c r="C15">
        <v>0.56000000000000005</v>
      </c>
      <c r="D15">
        <v>4.55</v>
      </c>
      <c r="E15">
        <v>0.12</v>
      </c>
      <c r="F15">
        <v>5.1100000000000003</v>
      </c>
    </row>
    <row r="16" spans="2:7" x14ac:dyDescent="0.2">
      <c r="B16" t="s">
        <v>186</v>
      </c>
      <c r="C16">
        <v>0.37</v>
      </c>
      <c r="D16">
        <v>0.47</v>
      </c>
      <c r="E16">
        <v>0.12</v>
      </c>
      <c r="F16">
        <v>0.96</v>
      </c>
    </row>
    <row r="17" spans="2:6" x14ac:dyDescent="0.2">
      <c r="B17" t="s">
        <v>187</v>
      </c>
      <c r="C17">
        <v>1.8</v>
      </c>
      <c r="D17">
        <v>16.489999999999998</v>
      </c>
      <c r="E17">
        <v>0.94</v>
      </c>
      <c r="F17">
        <v>19.100000000000001</v>
      </c>
    </row>
    <row r="18" spans="2:6" x14ac:dyDescent="0.2">
      <c r="B18" t="s">
        <v>192</v>
      </c>
    </row>
    <row r="20" spans="2:6" x14ac:dyDescent="0.2">
      <c r="B20" s="76" t="s">
        <v>193</v>
      </c>
      <c r="C20" s="76"/>
      <c r="D20" s="76"/>
      <c r="E20" s="76"/>
      <c r="F20" s="76"/>
    </row>
    <row r="21" spans="2:6" x14ac:dyDescent="0.2">
      <c r="B21" s="76"/>
      <c r="C21" s="76"/>
      <c r="D21" s="76"/>
      <c r="E21" s="76"/>
      <c r="F21" s="76"/>
    </row>
    <row r="23" spans="2:6" x14ac:dyDescent="0.2">
      <c r="B23" t="s">
        <v>194</v>
      </c>
    </row>
    <row r="25" spans="2:6" x14ac:dyDescent="0.2">
      <c r="B25" t="s">
        <v>195</v>
      </c>
    </row>
    <row r="27" spans="2:6" x14ac:dyDescent="0.2">
      <c r="B27" t="s">
        <v>196</v>
      </c>
    </row>
    <row r="29" spans="2:6" x14ac:dyDescent="0.2">
      <c r="B29" t="s">
        <v>197</v>
      </c>
      <c r="C29" t="s">
        <v>198</v>
      </c>
    </row>
    <row r="30" spans="2:6" ht="51" x14ac:dyDescent="0.2">
      <c r="B30" s="16" t="s">
        <v>199</v>
      </c>
      <c r="C30" t="s">
        <v>200</v>
      </c>
    </row>
    <row r="31" spans="2:6" ht="34" x14ac:dyDescent="0.2">
      <c r="B31" s="16" t="s">
        <v>201</v>
      </c>
      <c r="C31" s="16" t="s">
        <v>202</v>
      </c>
    </row>
    <row r="32" spans="2:6" ht="51" x14ac:dyDescent="0.2">
      <c r="C32" s="16" t="s">
        <v>203</v>
      </c>
    </row>
    <row r="33" spans="2:30" ht="51" x14ac:dyDescent="0.2">
      <c r="B33" s="16" t="s">
        <v>204</v>
      </c>
      <c r="C33" s="16" t="s">
        <v>205</v>
      </c>
    </row>
    <row r="36" spans="2:30" x14ac:dyDescent="0.2">
      <c r="B36" t="s">
        <v>206</v>
      </c>
      <c r="C36" t="s">
        <v>206</v>
      </c>
      <c r="D36" t="s">
        <v>207</v>
      </c>
      <c r="G36" t="s">
        <v>206</v>
      </c>
    </row>
    <row r="37" spans="2:30" ht="51" x14ac:dyDescent="0.2">
      <c r="B37" t="s">
        <v>208</v>
      </c>
      <c r="C37" t="s">
        <v>209</v>
      </c>
      <c r="D37" s="16" t="s">
        <v>210</v>
      </c>
      <c r="E37" s="16" t="s">
        <v>211</v>
      </c>
      <c r="F37" s="16" t="s">
        <v>212</v>
      </c>
      <c r="G37" t="s">
        <v>213</v>
      </c>
    </row>
    <row r="38" spans="2:30" x14ac:dyDescent="0.2">
      <c r="B38" t="s">
        <v>214</v>
      </c>
      <c r="C38">
        <v>40.799999999999997</v>
      </c>
      <c r="D38">
        <v>0.8</v>
      </c>
      <c r="E38" t="s">
        <v>215</v>
      </c>
      <c r="F38" t="s">
        <v>216</v>
      </c>
      <c r="G38" t="s">
        <v>217</v>
      </c>
    </row>
    <row r="39" spans="2:30" x14ac:dyDescent="0.2">
      <c r="B39" t="s">
        <v>218</v>
      </c>
      <c r="C39">
        <v>400.8</v>
      </c>
      <c r="D39">
        <v>0.8</v>
      </c>
      <c r="E39" t="s">
        <v>219</v>
      </c>
      <c r="F39" t="s">
        <v>220</v>
      </c>
      <c r="G39" t="s">
        <v>221</v>
      </c>
    </row>
    <row r="42" spans="2:30" x14ac:dyDescent="0.2">
      <c r="B42" t="s">
        <v>206</v>
      </c>
      <c r="E42" t="s">
        <v>222</v>
      </c>
      <c r="G42" t="s">
        <v>206</v>
      </c>
      <c r="I42" t="s">
        <v>206</v>
      </c>
      <c r="N42" t="s">
        <v>206</v>
      </c>
      <c r="Q42" t="s">
        <v>206</v>
      </c>
      <c r="W42" t="s">
        <v>206</v>
      </c>
      <c r="X42" t="s">
        <v>206</v>
      </c>
      <c r="Y42" t="s">
        <v>206</v>
      </c>
      <c r="Z42" t="s">
        <v>206</v>
      </c>
      <c r="AA42" t="s">
        <v>206</v>
      </c>
      <c r="AB42" t="s">
        <v>206</v>
      </c>
      <c r="AC42" t="s">
        <v>206</v>
      </c>
      <c r="AD42" t="s">
        <v>206</v>
      </c>
    </row>
    <row r="43" spans="2:30" x14ac:dyDescent="0.2">
      <c r="B43" t="s">
        <v>206</v>
      </c>
      <c r="G43" t="s">
        <v>206</v>
      </c>
      <c r="H43" t="s">
        <v>268</v>
      </c>
      <c r="I43" t="s">
        <v>206</v>
      </c>
      <c r="J43" t="s">
        <v>269</v>
      </c>
      <c r="N43" t="s">
        <v>206</v>
      </c>
      <c r="Q43" t="s">
        <v>206</v>
      </c>
    </row>
    <row r="44" spans="2:30" ht="85" x14ac:dyDescent="0.2">
      <c r="B44" t="s">
        <v>223</v>
      </c>
      <c r="C44" t="s">
        <v>224</v>
      </c>
      <c r="D44" s="51" t="s">
        <v>284</v>
      </c>
      <c r="E44" t="s">
        <v>225</v>
      </c>
      <c r="F44" t="s">
        <v>226</v>
      </c>
      <c r="G44" t="s">
        <v>206</v>
      </c>
      <c r="H44" t="s">
        <v>227</v>
      </c>
      <c r="J44" t="s">
        <v>270</v>
      </c>
      <c r="L44" s="16" t="s">
        <v>228</v>
      </c>
      <c r="M44" s="16" t="s">
        <v>271</v>
      </c>
      <c r="N44" t="s">
        <v>229</v>
      </c>
      <c r="O44" s="16" t="s">
        <v>272</v>
      </c>
      <c r="P44" s="16" t="s">
        <v>273</v>
      </c>
    </row>
    <row r="45" spans="2:30" x14ac:dyDescent="0.2">
      <c r="B45" t="s">
        <v>183</v>
      </c>
      <c r="C45" t="s">
        <v>206</v>
      </c>
      <c r="D45" s="49"/>
      <c r="E45" t="s">
        <v>206</v>
      </c>
      <c r="F45" t="s">
        <v>206</v>
      </c>
      <c r="G45" t="s">
        <v>206</v>
      </c>
      <c r="P45" t="s">
        <v>206</v>
      </c>
    </row>
    <row r="46" spans="2:30" x14ac:dyDescent="0.2">
      <c r="B46" t="s">
        <v>230</v>
      </c>
      <c r="C46" t="s">
        <v>231</v>
      </c>
      <c r="D46" s="49" t="s">
        <v>274</v>
      </c>
      <c r="E46" t="s">
        <v>232</v>
      </c>
      <c r="F46">
        <v>10</v>
      </c>
      <c r="H46">
        <v>35</v>
      </c>
      <c r="J46">
        <v>350</v>
      </c>
      <c r="L46">
        <v>365</v>
      </c>
      <c r="M46">
        <v>63875</v>
      </c>
      <c r="N46">
        <v>0.44</v>
      </c>
      <c r="O46">
        <v>0.2</v>
      </c>
      <c r="P46" t="s">
        <v>206</v>
      </c>
    </row>
    <row r="47" spans="2:30" x14ac:dyDescent="0.2">
      <c r="B47" t="s">
        <v>233</v>
      </c>
      <c r="C47" t="s">
        <v>231</v>
      </c>
      <c r="D47" s="49" t="s">
        <v>277</v>
      </c>
      <c r="E47" t="s">
        <v>234</v>
      </c>
      <c r="F47">
        <v>70</v>
      </c>
      <c r="H47">
        <v>35</v>
      </c>
      <c r="J47">
        <v>2450</v>
      </c>
      <c r="L47">
        <v>240</v>
      </c>
      <c r="M47">
        <v>294000</v>
      </c>
      <c r="N47">
        <v>2.0099999999999998</v>
      </c>
      <c r="O47">
        <v>0.9</v>
      </c>
      <c r="P47" t="s">
        <v>206</v>
      </c>
    </row>
    <row r="48" spans="2:30" x14ac:dyDescent="0.2">
      <c r="B48" t="s">
        <v>235</v>
      </c>
      <c r="C48" t="s">
        <v>97</v>
      </c>
      <c r="D48" s="49" t="s">
        <v>278</v>
      </c>
      <c r="E48" t="s">
        <v>225</v>
      </c>
      <c r="F48">
        <v>11</v>
      </c>
      <c r="H48">
        <v>400</v>
      </c>
      <c r="J48">
        <v>4400</v>
      </c>
      <c r="L48">
        <v>240</v>
      </c>
      <c r="M48">
        <v>528000</v>
      </c>
      <c r="N48">
        <v>3.62</v>
      </c>
      <c r="O48">
        <v>1.62</v>
      </c>
      <c r="P48" t="s">
        <v>206</v>
      </c>
    </row>
    <row r="49" spans="2:16" x14ac:dyDescent="0.2">
      <c r="B49" t="s">
        <v>236</v>
      </c>
      <c r="C49" t="s">
        <v>237</v>
      </c>
      <c r="D49" s="49" t="s">
        <v>275</v>
      </c>
      <c r="E49" t="s">
        <v>238</v>
      </c>
      <c r="F49">
        <v>8</v>
      </c>
      <c r="H49">
        <v>100</v>
      </c>
      <c r="J49">
        <v>800</v>
      </c>
      <c r="L49">
        <v>240</v>
      </c>
      <c r="M49">
        <v>192000</v>
      </c>
      <c r="N49">
        <v>1.32</v>
      </c>
      <c r="O49">
        <v>0.59</v>
      </c>
      <c r="P49" t="s">
        <v>206</v>
      </c>
    </row>
    <row r="50" spans="2:16" x14ac:dyDescent="0.2">
      <c r="B50" t="s">
        <v>239</v>
      </c>
      <c r="C50" t="s">
        <v>240</v>
      </c>
      <c r="D50" s="49" t="s">
        <v>275</v>
      </c>
      <c r="E50" t="s">
        <v>241</v>
      </c>
      <c r="F50">
        <v>24</v>
      </c>
      <c r="H50" t="s">
        <v>242</v>
      </c>
      <c r="J50">
        <v>840</v>
      </c>
      <c r="L50">
        <v>240</v>
      </c>
      <c r="M50">
        <v>100800</v>
      </c>
      <c r="N50">
        <v>0.69</v>
      </c>
      <c r="O50">
        <v>0.31</v>
      </c>
      <c r="P50" t="s">
        <v>206</v>
      </c>
    </row>
    <row r="51" spans="2:16" x14ac:dyDescent="0.2">
      <c r="B51" t="s">
        <v>243</v>
      </c>
      <c r="C51" t="s">
        <v>244</v>
      </c>
      <c r="D51" s="49" t="s">
        <v>276</v>
      </c>
      <c r="E51" t="s">
        <v>245</v>
      </c>
      <c r="F51">
        <v>71</v>
      </c>
      <c r="H51">
        <v>150</v>
      </c>
      <c r="J51">
        <v>10650</v>
      </c>
      <c r="L51">
        <v>240</v>
      </c>
      <c r="M51">
        <v>2556000</v>
      </c>
      <c r="N51">
        <v>17.510000000000002</v>
      </c>
      <c r="O51">
        <v>7.84</v>
      </c>
      <c r="P51" t="s">
        <v>206</v>
      </c>
    </row>
    <row r="52" spans="2:16" x14ac:dyDescent="0.2">
      <c r="B52" t="s">
        <v>246</v>
      </c>
      <c r="C52" t="s">
        <v>246</v>
      </c>
      <c r="D52" s="49"/>
      <c r="E52" t="s">
        <v>247</v>
      </c>
      <c r="F52">
        <v>1</v>
      </c>
      <c r="H52" t="s">
        <v>248</v>
      </c>
      <c r="J52">
        <v>1467</v>
      </c>
      <c r="L52">
        <v>240</v>
      </c>
      <c r="M52">
        <v>176040</v>
      </c>
      <c r="N52">
        <v>1.21</v>
      </c>
      <c r="O52" t="s">
        <v>206</v>
      </c>
      <c r="P52">
        <v>0.54</v>
      </c>
    </row>
    <row r="53" spans="2:16" x14ac:dyDescent="0.2">
      <c r="B53" t="s">
        <v>249</v>
      </c>
      <c r="C53" t="s">
        <v>250</v>
      </c>
      <c r="D53" s="49"/>
      <c r="E53" t="s">
        <v>241</v>
      </c>
      <c r="F53">
        <v>25</v>
      </c>
      <c r="H53">
        <v>5</v>
      </c>
      <c r="J53">
        <v>125</v>
      </c>
      <c r="L53">
        <v>365</v>
      </c>
      <c r="M53">
        <v>22813</v>
      </c>
      <c r="N53">
        <v>0.16</v>
      </c>
      <c r="O53" t="s">
        <v>206</v>
      </c>
      <c r="P53">
        <v>7.0000000000000007E-2</v>
      </c>
    </row>
    <row r="54" spans="2:16" x14ac:dyDescent="0.2">
      <c r="B54" t="s">
        <v>206</v>
      </c>
      <c r="D54" s="49" t="s">
        <v>206</v>
      </c>
      <c r="E54" t="s">
        <v>206</v>
      </c>
      <c r="F54" t="s">
        <v>206</v>
      </c>
      <c r="H54" t="s">
        <v>251</v>
      </c>
      <c r="I54" t="s">
        <v>206</v>
      </c>
      <c r="J54">
        <v>21082</v>
      </c>
      <c r="L54" t="s">
        <v>206</v>
      </c>
      <c r="M54">
        <v>39335.279999999999</v>
      </c>
      <c r="N54">
        <v>26.94</v>
      </c>
      <c r="O54">
        <v>11.46</v>
      </c>
      <c r="P54">
        <v>0.61</v>
      </c>
    </row>
    <row r="55" spans="2:16" x14ac:dyDescent="0.2">
      <c r="B55" t="s">
        <v>184</v>
      </c>
      <c r="C55" t="s">
        <v>233</v>
      </c>
      <c r="D55" s="49" t="s">
        <v>277</v>
      </c>
      <c r="E55" t="s">
        <v>206</v>
      </c>
      <c r="F55" t="s">
        <v>206</v>
      </c>
      <c r="H55" t="s">
        <v>206</v>
      </c>
      <c r="I55" t="s">
        <v>206</v>
      </c>
      <c r="J55" t="s">
        <v>206</v>
      </c>
      <c r="L55" t="s">
        <v>206</v>
      </c>
      <c r="M55" t="s">
        <v>206</v>
      </c>
      <c r="N55" t="s">
        <v>206</v>
      </c>
      <c r="O55" t="s">
        <v>206</v>
      </c>
      <c r="P55" t="s">
        <v>206</v>
      </c>
    </row>
    <row r="56" spans="2:16" x14ac:dyDescent="0.2">
      <c r="B56" t="s">
        <v>206</v>
      </c>
      <c r="D56" s="49" t="s">
        <v>206</v>
      </c>
      <c r="E56" t="s">
        <v>232</v>
      </c>
      <c r="F56">
        <v>20</v>
      </c>
      <c r="H56">
        <v>35</v>
      </c>
      <c r="J56">
        <v>700</v>
      </c>
      <c r="L56">
        <v>240</v>
      </c>
      <c r="M56">
        <v>84000</v>
      </c>
      <c r="N56">
        <v>0.57999999999999996</v>
      </c>
      <c r="O56" t="s">
        <v>206</v>
      </c>
      <c r="P56">
        <v>0.26</v>
      </c>
    </row>
    <row r="57" spans="2:16" x14ac:dyDescent="0.2">
      <c r="B57" t="s">
        <v>206</v>
      </c>
      <c r="D57" s="49" t="s">
        <v>206</v>
      </c>
      <c r="E57" t="s">
        <v>206</v>
      </c>
      <c r="F57" t="s">
        <v>206</v>
      </c>
      <c r="H57" t="s">
        <v>251</v>
      </c>
      <c r="I57" t="s">
        <v>206</v>
      </c>
      <c r="J57">
        <v>700</v>
      </c>
      <c r="L57" t="s">
        <v>206</v>
      </c>
      <c r="M57">
        <v>84000</v>
      </c>
      <c r="N57">
        <v>0.57999999999999996</v>
      </c>
      <c r="O57">
        <v>0</v>
      </c>
      <c r="P57">
        <v>0.26</v>
      </c>
    </row>
    <row r="58" spans="2:16" x14ac:dyDescent="0.2">
      <c r="B58" t="s">
        <v>185</v>
      </c>
      <c r="C58" t="s">
        <v>253</v>
      </c>
      <c r="D58" s="49"/>
      <c r="E58" t="s">
        <v>206</v>
      </c>
      <c r="F58" t="s">
        <v>206</v>
      </c>
      <c r="H58" t="s">
        <v>206</v>
      </c>
      <c r="I58" t="s">
        <v>206</v>
      </c>
      <c r="J58" t="s">
        <v>206</v>
      </c>
      <c r="L58" t="s">
        <v>206</v>
      </c>
      <c r="M58" t="s">
        <v>206</v>
      </c>
      <c r="N58" t="s">
        <v>206</v>
      </c>
      <c r="O58" t="s">
        <v>206</v>
      </c>
      <c r="P58" t="s">
        <v>206</v>
      </c>
    </row>
    <row r="59" spans="2:16" x14ac:dyDescent="0.2">
      <c r="B59" t="s">
        <v>252</v>
      </c>
      <c r="C59" t="s">
        <v>231</v>
      </c>
      <c r="D59" s="49" t="s">
        <v>276</v>
      </c>
      <c r="E59" t="s">
        <v>245</v>
      </c>
      <c r="F59">
        <v>39</v>
      </c>
      <c r="H59">
        <v>150</v>
      </c>
      <c r="J59">
        <v>5850</v>
      </c>
      <c r="L59">
        <v>240</v>
      </c>
      <c r="M59">
        <v>702000</v>
      </c>
      <c r="N59">
        <v>4.8099999999999996</v>
      </c>
      <c r="O59">
        <v>2.15</v>
      </c>
      <c r="P59" t="s">
        <v>206</v>
      </c>
    </row>
    <row r="60" spans="2:16" x14ac:dyDescent="0.2">
      <c r="B60" t="s">
        <v>233</v>
      </c>
      <c r="C60" t="s">
        <v>255</v>
      </c>
      <c r="D60" s="49" t="s">
        <v>277</v>
      </c>
      <c r="E60" t="s">
        <v>232</v>
      </c>
      <c r="F60">
        <v>80</v>
      </c>
      <c r="H60">
        <v>35</v>
      </c>
      <c r="J60">
        <v>2800</v>
      </c>
      <c r="L60">
        <v>240</v>
      </c>
      <c r="M60">
        <v>336000</v>
      </c>
      <c r="N60">
        <v>2.2999999999999998</v>
      </c>
      <c r="O60">
        <v>1.03</v>
      </c>
      <c r="P60" t="s">
        <v>206</v>
      </c>
    </row>
    <row r="61" spans="2:16" x14ac:dyDescent="0.2">
      <c r="B61" t="s">
        <v>254</v>
      </c>
      <c r="C61" t="s">
        <v>97</v>
      </c>
      <c r="D61" s="49" t="s">
        <v>279</v>
      </c>
      <c r="E61" t="s">
        <v>256</v>
      </c>
      <c r="F61">
        <v>6</v>
      </c>
      <c r="H61">
        <v>11</v>
      </c>
      <c r="J61">
        <v>66</v>
      </c>
      <c r="L61">
        <v>240</v>
      </c>
      <c r="M61">
        <v>7920</v>
      </c>
      <c r="N61">
        <v>0.05</v>
      </c>
      <c r="O61">
        <v>0.02</v>
      </c>
      <c r="P61" t="s">
        <v>206</v>
      </c>
    </row>
    <row r="62" spans="2:16" x14ac:dyDescent="0.2">
      <c r="B62" t="s">
        <v>257</v>
      </c>
      <c r="C62" t="s">
        <v>97</v>
      </c>
      <c r="D62" s="49" t="s">
        <v>278</v>
      </c>
      <c r="E62" t="s">
        <v>258</v>
      </c>
      <c r="F62">
        <v>3</v>
      </c>
      <c r="H62">
        <v>800</v>
      </c>
      <c r="J62">
        <v>2400</v>
      </c>
      <c r="L62">
        <v>365</v>
      </c>
      <c r="M62">
        <v>438000</v>
      </c>
      <c r="N62">
        <v>3</v>
      </c>
      <c r="O62">
        <v>1.34</v>
      </c>
      <c r="P62" t="s">
        <v>206</v>
      </c>
    </row>
    <row r="63" spans="2:16" x14ac:dyDescent="0.2">
      <c r="B63" t="s">
        <v>259</v>
      </c>
      <c r="D63" s="49"/>
      <c r="E63" t="s">
        <v>260</v>
      </c>
      <c r="F63">
        <v>2</v>
      </c>
      <c r="H63">
        <v>500</v>
      </c>
      <c r="J63">
        <v>1000</v>
      </c>
      <c r="L63">
        <v>365</v>
      </c>
      <c r="M63">
        <v>182500</v>
      </c>
      <c r="N63">
        <v>1.25</v>
      </c>
      <c r="O63" t="s">
        <v>206</v>
      </c>
      <c r="P63">
        <v>0.56000000000000005</v>
      </c>
    </row>
    <row r="64" spans="2:16" x14ac:dyDescent="0.2">
      <c r="B64" t="s">
        <v>206</v>
      </c>
      <c r="D64" s="49"/>
      <c r="E64" t="s">
        <v>206</v>
      </c>
      <c r="F64" t="s">
        <v>206</v>
      </c>
      <c r="G64" t="s">
        <v>206</v>
      </c>
      <c r="H64" t="s">
        <v>251</v>
      </c>
      <c r="I64" t="s">
        <v>206</v>
      </c>
      <c r="J64">
        <v>12116</v>
      </c>
      <c r="L64" t="s">
        <v>206</v>
      </c>
      <c r="M64">
        <v>16664.2</v>
      </c>
      <c r="N64">
        <v>11.41</v>
      </c>
      <c r="O64">
        <v>4.55</v>
      </c>
      <c r="P64">
        <v>0.56000000000000005</v>
      </c>
    </row>
    <row r="65" spans="2:17" x14ac:dyDescent="0.2">
      <c r="B65" t="s">
        <v>186</v>
      </c>
      <c r="E65" t="s">
        <v>206</v>
      </c>
      <c r="F65" t="s">
        <v>206</v>
      </c>
      <c r="G65" t="s">
        <v>206</v>
      </c>
      <c r="H65" t="s">
        <v>206</v>
      </c>
      <c r="I65" t="s">
        <v>206</v>
      </c>
      <c r="J65" t="s">
        <v>206</v>
      </c>
      <c r="L65" t="s">
        <v>206</v>
      </c>
      <c r="M65" t="s">
        <v>206</v>
      </c>
      <c r="N65" t="s">
        <v>206</v>
      </c>
      <c r="O65" t="s">
        <v>206</v>
      </c>
      <c r="P65" t="s">
        <v>206</v>
      </c>
    </row>
    <row r="66" spans="2:17" x14ac:dyDescent="0.2">
      <c r="B66" t="s">
        <v>261</v>
      </c>
      <c r="C66" t="s">
        <v>262</v>
      </c>
      <c r="E66" t="s">
        <v>263</v>
      </c>
      <c r="F66">
        <v>200</v>
      </c>
      <c r="H66">
        <v>5</v>
      </c>
      <c r="J66">
        <v>1000</v>
      </c>
      <c r="L66">
        <v>240</v>
      </c>
      <c r="M66">
        <v>120000</v>
      </c>
      <c r="N66">
        <v>0.82</v>
      </c>
      <c r="O66" t="s">
        <v>206</v>
      </c>
      <c r="P66">
        <v>0.37</v>
      </c>
    </row>
    <row r="67" spans="2:17" x14ac:dyDescent="0.2">
      <c r="B67" t="s">
        <v>264</v>
      </c>
      <c r="C67" t="s">
        <v>257</v>
      </c>
      <c r="E67" t="s">
        <v>257</v>
      </c>
      <c r="F67">
        <v>1</v>
      </c>
      <c r="H67">
        <v>800</v>
      </c>
      <c r="J67">
        <v>800</v>
      </c>
      <c r="L67">
        <v>365</v>
      </c>
      <c r="M67">
        <v>146000</v>
      </c>
      <c r="N67">
        <v>1</v>
      </c>
      <c r="O67">
        <v>0.45</v>
      </c>
      <c r="P67" t="s">
        <v>206</v>
      </c>
    </row>
    <row r="68" spans="2:17" x14ac:dyDescent="0.2">
      <c r="B68" t="s">
        <v>265</v>
      </c>
      <c r="C68" t="s">
        <v>266</v>
      </c>
      <c r="E68" t="s">
        <v>266</v>
      </c>
      <c r="F68">
        <v>2</v>
      </c>
      <c r="H68">
        <v>20</v>
      </c>
      <c r="J68">
        <v>40</v>
      </c>
      <c r="L68">
        <v>365</v>
      </c>
      <c r="M68">
        <v>7300</v>
      </c>
      <c r="N68">
        <v>0.05</v>
      </c>
      <c r="O68">
        <v>0.02</v>
      </c>
      <c r="P68" t="s">
        <v>206</v>
      </c>
    </row>
    <row r="69" spans="2:17" x14ac:dyDescent="0.2">
      <c r="B69" t="s">
        <v>206</v>
      </c>
      <c r="E69" t="s">
        <v>206</v>
      </c>
      <c r="H69" t="s">
        <v>251</v>
      </c>
      <c r="I69" t="s">
        <v>206</v>
      </c>
      <c r="J69">
        <v>17422</v>
      </c>
      <c r="L69" t="s">
        <v>206</v>
      </c>
      <c r="M69">
        <v>273300</v>
      </c>
      <c r="N69">
        <v>1.87</v>
      </c>
      <c r="O69">
        <v>47</v>
      </c>
      <c r="P69">
        <v>0.37</v>
      </c>
      <c r="Q69" t="s">
        <v>206</v>
      </c>
    </row>
    <row r="70" spans="2:17" x14ac:dyDescent="0.2">
      <c r="B70" t="s">
        <v>206</v>
      </c>
      <c r="E70" t="s">
        <v>206</v>
      </c>
      <c r="H70" t="s">
        <v>267</v>
      </c>
      <c r="I70" t="s">
        <v>206</v>
      </c>
      <c r="J70">
        <v>50320</v>
      </c>
      <c r="L70" t="s">
        <v>206</v>
      </c>
      <c r="M70">
        <v>5957248</v>
      </c>
      <c r="N70">
        <v>40.799999999999997</v>
      </c>
      <c r="O70">
        <v>16.489999999999998</v>
      </c>
      <c r="P70">
        <v>1.8</v>
      </c>
      <c r="Q70" t="s">
        <v>206</v>
      </c>
    </row>
    <row r="73" spans="2:17" x14ac:dyDescent="0.2">
      <c r="E73" s="16"/>
    </row>
    <row r="74" spans="2:17" ht="51" x14ac:dyDescent="0.2">
      <c r="C74" s="49" t="s">
        <v>290</v>
      </c>
      <c r="D74" s="49" t="s">
        <v>285</v>
      </c>
      <c r="E74" s="51" t="s">
        <v>286</v>
      </c>
      <c r="F74" s="51" t="s">
        <v>289</v>
      </c>
      <c r="G74" s="51" t="s">
        <v>287</v>
      </c>
      <c r="H74" s="51" t="s">
        <v>288</v>
      </c>
    </row>
    <row r="75" spans="2:17" x14ac:dyDescent="0.2">
      <c r="C75" s="49"/>
      <c r="D75" s="49"/>
      <c r="E75" s="49"/>
      <c r="F75" s="49"/>
      <c r="G75" s="49"/>
      <c r="H75" s="49"/>
    </row>
    <row r="76" spans="2:17" x14ac:dyDescent="0.2">
      <c r="C76" s="49" t="s">
        <v>291</v>
      </c>
      <c r="D76" s="49" t="s">
        <v>274</v>
      </c>
      <c r="E76" s="49">
        <f>SUMIF($D$46:$D$69,"A",$N$46:$N$69)</f>
        <v>0.44</v>
      </c>
      <c r="F76" s="52">
        <f>E76/$E$83</f>
        <v>1.4193548387096775E-2</v>
      </c>
      <c r="G76" s="53">
        <f>F76*ReserveFund!$E$19</f>
        <v>43912.709677419356</v>
      </c>
      <c r="H76" s="53">
        <f>F76*ReserveFund!$H$19</f>
        <v>109910.85115823502</v>
      </c>
    </row>
    <row r="77" spans="2:17" x14ac:dyDescent="0.2">
      <c r="C77" s="49" t="s">
        <v>292</v>
      </c>
      <c r="D77" s="49" t="s">
        <v>277</v>
      </c>
      <c r="E77" s="49">
        <f>SUMIF($D$46:$D$69,"B",$N$46:$N$69)</f>
        <v>4.3099999999999996</v>
      </c>
      <c r="F77" s="52">
        <f t="shared" ref="F77:F83" si="0">E77/$E$83</f>
        <v>0.13903225806451611</v>
      </c>
      <c r="G77" s="53">
        <f>F77*ReserveFund!$E$19</f>
        <v>430144.95161290315</v>
      </c>
      <c r="H77" s="53">
        <f>F77*ReserveFund!$H$19</f>
        <v>1076626.746572711</v>
      </c>
    </row>
    <row r="78" spans="2:17" x14ac:dyDescent="0.2">
      <c r="C78" s="49" t="s">
        <v>97</v>
      </c>
      <c r="D78" s="49" t="s">
        <v>278</v>
      </c>
      <c r="E78" s="49">
        <f>SUMIF($D$46:$D$69,"C",$N$46:$N$69)</f>
        <v>6.62</v>
      </c>
      <c r="F78" s="52">
        <f t="shared" si="0"/>
        <v>0.21354838709677421</v>
      </c>
      <c r="G78" s="53">
        <f>F78*ReserveFund!$E$19</f>
        <v>660686.67741935491</v>
      </c>
      <c r="H78" s="53">
        <f>F78*ReserveFund!$H$19</f>
        <v>1653658.715153445</v>
      </c>
    </row>
    <row r="79" spans="2:17" x14ac:dyDescent="0.2">
      <c r="C79" s="49" t="s">
        <v>293</v>
      </c>
      <c r="D79" s="49" t="s">
        <v>275</v>
      </c>
      <c r="E79" s="49">
        <f>SUMIF($D$46:$D$69,"D",$N$46:$N$69)</f>
        <v>2.0099999999999998</v>
      </c>
      <c r="F79" s="52">
        <f t="shared" si="0"/>
        <v>6.4838709677419351E-2</v>
      </c>
      <c r="G79" s="53">
        <f>F79*ReserveFund!$E$19</f>
        <v>200601.24193548385</v>
      </c>
      <c r="H79" s="53">
        <f>F79*ReserveFund!$H$19</f>
        <v>502092.75188193715</v>
      </c>
    </row>
    <row r="80" spans="2:17" x14ac:dyDescent="0.2">
      <c r="C80" s="49" t="s">
        <v>294</v>
      </c>
      <c r="D80" s="49" t="s">
        <v>276</v>
      </c>
      <c r="E80" s="49">
        <f>SUMIF($D$46:$D$69,"E",$N$46:$N$69)</f>
        <v>22.32</v>
      </c>
      <c r="F80" s="52">
        <f t="shared" si="0"/>
        <v>0.72</v>
      </c>
      <c r="G80" s="53">
        <f>F80*ReserveFund!$E$19</f>
        <v>2227572</v>
      </c>
      <c r="H80" s="53">
        <f>F80*ReserveFund!$H$19</f>
        <v>5575477.7223904664</v>
      </c>
    </row>
    <row r="81" spans="3:8" x14ac:dyDescent="0.2">
      <c r="C81" s="49" t="s">
        <v>295</v>
      </c>
      <c r="D81" s="49" t="s">
        <v>279</v>
      </c>
      <c r="E81" s="49">
        <f>SUMIF($D$46:$D$69,"F",$N$46:$N$69)</f>
        <v>0.05</v>
      </c>
      <c r="F81" s="52">
        <f t="shared" si="0"/>
        <v>1.6129032258064516E-3</v>
      </c>
      <c r="G81" s="53">
        <f>F81*ReserveFund!$E$19</f>
        <v>4990.0806451612907</v>
      </c>
      <c r="H81" s="53">
        <f>F81*ReserveFund!$H$19</f>
        <v>12489.869449799433</v>
      </c>
    </row>
    <row r="82" spans="3:8" x14ac:dyDescent="0.2">
      <c r="C82" s="49"/>
      <c r="D82" s="49"/>
      <c r="E82" s="49"/>
      <c r="F82" s="52"/>
      <c r="G82" s="53">
        <f>F82*ReserveFund!$E$19</f>
        <v>0</v>
      </c>
      <c r="H82" s="53"/>
    </row>
    <row r="83" spans="3:8" x14ac:dyDescent="0.2">
      <c r="C83" s="49"/>
      <c r="D83" s="49" t="s">
        <v>96</v>
      </c>
      <c r="E83" s="49">
        <f>SUM(E78:E81)</f>
        <v>31</v>
      </c>
      <c r="F83" s="52">
        <f t="shared" si="0"/>
        <v>1</v>
      </c>
      <c r="G83" s="53">
        <f>F83*ReserveFund!$E$19</f>
        <v>3093850</v>
      </c>
      <c r="H83" s="53">
        <f>F83*ReserveFund!$H$19</f>
        <v>7743719.0588756483</v>
      </c>
    </row>
  </sheetData>
  <mergeCells count="1">
    <mergeCell ref="B20:F2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134"/>
  <sheetViews>
    <sheetView topLeftCell="A109" workbookViewId="0">
      <selection activeCell="C122" sqref="C122:C133"/>
    </sheetView>
  </sheetViews>
  <sheetFormatPr baseColWidth="10" defaultColWidth="8.83203125" defaultRowHeight="16" x14ac:dyDescent="0.2"/>
  <cols>
    <col min="1" max="1" width="17.1640625" customWidth="1"/>
    <col min="2" max="2" width="23.1640625" customWidth="1"/>
    <col min="3" max="4" width="11.1640625" customWidth="1"/>
    <col min="5" max="6" width="13.1640625" customWidth="1"/>
    <col min="7" max="7" width="20.1640625" customWidth="1"/>
    <col min="8" max="8" width="23.6640625" customWidth="1"/>
  </cols>
  <sheetData>
    <row r="1" spans="1:8" x14ac:dyDescent="0.2">
      <c r="A1" t="s">
        <v>7</v>
      </c>
      <c r="B1" t="s">
        <v>5</v>
      </c>
      <c r="C1" t="s">
        <v>23</v>
      </c>
      <c r="D1" t="s">
        <v>0</v>
      </c>
      <c r="E1" t="s">
        <v>6</v>
      </c>
      <c r="F1" t="s">
        <v>8</v>
      </c>
      <c r="G1" t="s">
        <v>9</v>
      </c>
      <c r="H1" t="s">
        <v>10</v>
      </c>
    </row>
    <row r="2" spans="1:8" x14ac:dyDescent="0.2">
      <c r="A2" t="s">
        <v>1</v>
      </c>
      <c r="B2" t="s">
        <v>25</v>
      </c>
      <c r="C2" s="3"/>
      <c r="D2" s="3"/>
      <c r="E2" s="3">
        <f>ExpenseDetails[[#This Row],[Estimated]]-ExpenseDetails[[#This Row],[Actual]]</f>
        <v>0</v>
      </c>
      <c r="F2" s="3"/>
      <c r="G2" s="3">
        <f>ExpenseDetails[[#This Row],[Prior Year]]-ExpenseDetails[[#This Row],[Actual]]</f>
        <v>0</v>
      </c>
      <c r="H2" s="2">
        <f>ExpenseDetails[[#This Row],[Prior Year Variance]]</f>
        <v>0</v>
      </c>
    </row>
    <row r="3" spans="1:8" x14ac:dyDescent="0.2">
      <c r="A3" t="s">
        <v>1</v>
      </c>
      <c r="B3" t="s">
        <v>25</v>
      </c>
      <c r="C3" s="3"/>
      <c r="D3" s="3"/>
      <c r="E3" s="3">
        <f>ExpenseDetails[[#This Row],[Estimated]]-ExpenseDetails[[#This Row],[Actual]]</f>
        <v>0</v>
      </c>
      <c r="F3" s="3"/>
      <c r="G3" s="3">
        <f>ExpenseDetails[[#This Row],[Prior Year]]-ExpenseDetails[[#This Row],[Actual]]</f>
        <v>0</v>
      </c>
      <c r="H3" s="2">
        <f>ExpenseDetails[[#This Row],[Prior Year Variance]]</f>
        <v>0</v>
      </c>
    </row>
    <row r="4" spans="1:8" x14ac:dyDescent="0.2">
      <c r="A4" t="s">
        <v>1</v>
      </c>
      <c r="B4" t="s">
        <v>26</v>
      </c>
      <c r="C4" s="3"/>
      <c r="D4" s="3"/>
      <c r="E4" s="3">
        <f>ExpenseDetails[[#This Row],[Estimated]]-ExpenseDetails[[#This Row],[Actual]]</f>
        <v>0</v>
      </c>
      <c r="F4" s="3"/>
      <c r="G4" s="3">
        <f>ExpenseDetails[[#This Row],[Prior Year]]-ExpenseDetails[[#This Row],[Actual]]</f>
        <v>0</v>
      </c>
      <c r="H4" s="2">
        <f>ExpenseDetails[[#This Row],[Prior Year Variance]]</f>
        <v>0</v>
      </c>
    </row>
    <row r="5" spans="1:8" x14ac:dyDescent="0.2">
      <c r="A5" t="s">
        <v>1</v>
      </c>
      <c r="B5" t="s">
        <v>28</v>
      </c>
      <c r="C5" s="3"/>
      <c r="D5" s="3"/>
      <c r="E5" s="3">
        <f>ExpenseDetails[[#This Row],[Estimated]]-ExpenseDetails[[#This Row],[Actual]]</f>
        <v>0</v>
      </c>
      <c r="F5" s="3"/>
      <c r="G5" s="3">
        <f>ExpenseDetails[[#This Row],[Prior Year]]-ExpenseDetails[[#This Row],[Actual]]</f>
        <v>0</v>
      </c>
      <c r="H5" s="2">
        <f>ExpenseDetails[[#This Row],[Prior Year Variance]]</f>
        <v>0</v>
      </c>
    </row>
    <row r="6" spans="1:8" x14ac:dyDescent="0.2">
      <c r="A6" t="s">
        <v>1</v>
      </c>
      <c r="B6" t="s">
        <v>14</v>
      </c>
      <c r="C6" s="3"/>
      <c r="D6" s="3"/>
      <c r="E6" s="3">
        <f>ExpenseDetails[[#This Row],[Estimated]]-ExpenseDetails[[#This Row],[Actual]]</f>
        <v>0</v>
      </c>
      <c r="F6" s="3"/>
      <c r="G6" s="3">
        <f>ExpenseDetails[[#This Row],[Prior Year]]-ExpenseDetails[[#This Row],[Actual]]</f>
        <v>0</v>
      </c>
      <c r="H6" s="2">
        <f>ExpenseDetails[[#This Row],[Prior Year Variance]]</f>
        <v>0</v>
      </c>
    </row>
    <row r="7" spans="1:8" x14ac:dyDescent="0.2">
      <c r="A7" t="s">
        <v>1</v>
      </c>
      <c r="B7" t="s">
        <v>31</v>
      </c>
      <c r="C7" s="3"/>
      <c r="D7" s="3"/>
      <c r="E7" s="3">
        <f>ExpenseDetails[[#This Row],[Estimated]]-ExpenseDetails[[#This Row],[Actual]]</f>
        <v>0</v>
      </c>
      <c r="F7" s="3"/>
      <c r="G7" s="3">
        <f>ExpenseDetails[[#This Row],[Prior Year]]-ExpenseDetails[[#This Row],[Actual]]</f>
        <v>0</v>
      </c>
      <c r="H7" s="2">
        <f>ExpenseDetails[[#This Row],[Prior Year Variance]]</f>
        <v>0</v>
      </c>
    </row>
    <row r="8" spans="1:8" x14ac:dyDescent="0.2">
      <c r="A8" t="s">
        <v>1</v>
      </c>
      <c r="B8" t="s">
        <v>29</v>
      </c>
      <c r="C8" s="3"/>
      <c r="D8" s="3"/>
      <c r="E8" s="3">
        <f>ExpenseDetails[[#This Row],[Estimated]]-ExpenseDetails[[#This Row],[Actual]]</f>
        <v>0</v>
      </c>
      <c r="F8" s="3"/>
      <c r="G8" s="3">
        <f>ExpenseDetails[[#This Row],[Prior Year]]-ExpenseDetails[[#This Row],[Actual]]</f>
        <v>0</v>
      </c>
      <c r="H8" s="2">
        <f>ExpenseDetails[[#This Row],[Prior Year Variance]]</f>
        <v>0</v>
      </c>
    </row>
    <row r="9" spans="1:8" x14ac:dyDescent="0.2">
      <c r="A9" t="s">
        <v>1</v>
      </c>
      <c r="B9" t="s">
        <v>12</v>
      </c>
      <c r="C9" s="3"/>
      <c r="D9" s="3"/>
      <c r="E9" s="3">
        <f>ExpenseDetails[[#This Row],[Estimated]]-ExpenseDetails[[#This Row],[Actual]]</f>
        <v>0</v>
      </c>
      <c r="F9" s="3"/>
      <c r="G9" s="3">
        <f>ExpenseDetails[[#This Row],[Prior Year]]-ExpenseDetails[[#This Row],[Actual]]</f>
        <v>0</v>
      </c>
      <c r="H9" s="2">
        <f>ExpenseDetails[[#This Row],[Prior Year Variance]]</f>
        <v>0</v>
      </c>
    </row>
    <row r="10" spans="1:8" x14ac:dyDescent="0.2">
      <c r="A10" t="s">
        <v>1</v>
      </c>
      <c r="B10" t="s">
        <v>13</v>
      </c>
      <c r="C10" s="3"/>
      <c r="D10" s="3"/>
      <c r="E10" s="3">
        <f>ExpenseDetails[[#This Row],[Estimated]]-ExpenseDetails[[#This Row],[Actual]]</f>
        <v>0</v>
      </c>
      <c r="F10" s="3"/>
      <c r="G10" s="3">
        <f>ExpenseDetails[[#This Row],[Prior Year]]-ExpenseDetails[[#This Row],[Actual]]</f>
        <v>0</v>
      </c>
      <c r="H10" s="2">
        <f>ExpenseDetails[[#This Row],[Prior Year Variance]]</f>
        <v>0</v>
      </c>
    </row>
    <row r="11" spans="1:8" x14ac:dyDescent="0.2">
      <c r="A11" t="s">
        <v>1</v>
      </c>
      <c r="B11" t="s">
        <v>11</v>
      </c>
      <c r="C11" s="3"/>
      <c r="D11" s="3"/>
      <c r="E11" s="3">
        <f>ExpenseDetails[[#This Row],[Estimated]]-ExpenseDetails[[#This Row],[Actual]]</f>
        <v>0</v>
      </c>
      <c r="F11" s="3"/>
      <c r="G11" s="3">
        <f>ExpenseDetails[[#This Row],[Prior Year]]-ExpenseDetails[[#This Row],[Actual]]</f>
        <v>0</v>
      </c>
      <c r="H11" s="2">
        <f>ExpenseDetails[[#This Row],[Prior Year Variance]]</f>
        <v>0</v>
      </c>
    </row>
    <row r="12" spans="1:8" x14ac:dyDescent="0.2">
      <c r="A12" t="s">
        <v>1</v>
      </c>
      <c r="B12" t="s">
        <v>27</v>
      </c>
      <c r="C12" s="3"/>
      <c r="D12" s="3"/>
      <c r="E12" s="3">
        <f>ExpenseDetails[[#This Row],[Estimated]]-ExpenseDetails[[#This Row],[Actual]]</f>
        <v>0</v>
      </c>
      <c r="F12" s="3"/>
      <c r="G12" s="3">
        <f>ExpenseDetails[[#This Row],[Prior Year]]-ExpenseDetails[[#This Row],[Actual]]</f>
        <v>0</v>
      </c>
      <c r="H12" s="2">
        <f>ExpenseDetails[[#This Row],[Prior Year Variance]]</f>
        <v>0</v>
      </c>
    </row>
    <row r="13" spans="1:8" x14ac:dyDescent="0.2">
      <c r="A13" t="s">
        <v>2</v>
      </c>
      <c r="B13" t="s">
        <v>25</v>
      </c>
      <c r="C13" s="3"/>
      <c r="D13" s="3"/>
      <c r="E13" s="3">
        <f>ExpenseDetails[[#This Row],[Estimated]]-ExpenseDetails[[#This Row],[Actual]]</f>
        <v>0</v>
      </c>
      <c r="F13" s="3"/>
      <c r="G13" s="3">
        <f>ExpenseDetails[[#This Row],[Prior Year]]-ExpenseDetails[[#This Row],[Actual]]</f>
        <v>0</v>
      </c>
      <c r="H13" s="2">
        <f>ExpenseDetails[[#This Row],[Prior Year Variance]]</f>
        <v>0</v>
      </c>
    </row>
    <row r="14" spans="1:8" x14ac:dyDescent="0.2">
      <c r="A14" t="s">
        <v>2</v>
      </c>
      <c r="B14" t="s">
        <v>25</v>
      </c>
      <c r="C14" s="3"/>
      <c r="D14" s="3"/>
      <c r="E14" s="3">
        <f>ExpenseDetails[[#This Row],[Estimated]]-ExpenseDetails[[#This Row],[Actual]]</f>
        <v>0</v>
      </c>
      <c r="F14" s="3"/>
      <c r="G14" s="3">
        <f>ExpenseDetails[[#This Row],[Prior Year]]-ExpenseDetails[[#This Row],[Actual]]</f>
        <v>0</v>
      </c>
      <c r="H14" s="2">
        <f>ExpenseDetails[[#This Row],[Prior Year Variance]]</f>
        <v>0</v>
      </c>
    </row>
    <row r="15" spans="1:8" x14ac:dyDescent="0.2">
      <c r="A15" t="s">
        <v>2</v>
      </c>
      <c r="B15" t="s">
        <v>26</v>
      </c>
      <c r="C15" s="3"/>
      <c r="D15" s="3"/>
      <c r="E15" s="3">
        <f>ExpenseDetails[[#This Row],[Estimated]]-ExpenseDetails[[#This Row],[Actual]]</f>
        <v>0</v>
      </c>
      <c r="F15" s="3"/>
      <c r="G15" s="3">
        <f>ExpenseDetails[[#This Row],[Prior Year]]-ExpenseDetails[[#This Row],[Actual]]</f>
        <v>0</v>
      </c>
      <c r="H15" s="2">
        <f>ExpenseDetails[[#This Row],[Prior Year Variance]]</f>
        <v>0</v>
      </c>
    </row>
    <row r="16" spans="1:8" x14ac:dyDescent="0.2">
      <c r="A16" t="s">
        <v>2</v>
      </c>
      <c r="B16" t="s">
        <v>28</v>
      </c>
      <c r="C16" s="3"/>
      <c r="D16" s="3"/>
      <c r="E16" s="3">
        <f>ExpenseDetails[[#This Row],[Estimated]]-ExpenseDetails[[#This Row],[Actual]]</f>
        <v>0</v>
      </c>
      <c r="F16" s="3"/>
      <c r="G16" s="3">
        <f>ExpenseDetails[[#This Row],[Prior Year]]-ExpenseDetails[[#This Row],[Actual]]</f>
        <v>0</v>
      </c>
      <c r="H16" s="2">
        <f>ExpenseDetails[[#This Row],[Prior Year Variance]]</f>
        <v>0</v>
      </c>
    </row>
    <row r="17" spans="1:8" x14ac:dyDescent="0.2">
      <c r="A17" t="s">
        <v>2</v>
      </c>
      <c r="B17" t="s">
        <v>14</v>
      </c>
      <c r="C17" s="3"/>
      <c r="D17" s="3"/>
      <c r="E17" s="3">
        <f>ExpenseDetails[[#This Row],[Estimated]]-ExpenseDetails[[#This Row],[Actual]]</f>
        <v>0</v>
      </c>
      <c r="F17" s="3"/>
      <c r="G17" s="3">
        <f>ExpenseDetails[[#This Row],[Prior Year]]-ExpenseDetails[[#This Row],[Actual]]</f>
        <v>0</v>
      </c>
      <c r="H17" s="2">
        <f>ExpenseDetails[[#This Row],[Prior Year Variance]]</f>
        <v>0</v>
      </c>
    </row>
    <row r="18" spans="1:8" x14ac:dyDescent="0.2">
      <c r="A18" t="s">
        <v>2</v>
      </c>
      <c r="B18" t="s">
        <v>31</v>
      </c>
      <c r="C18" s="3"/>
      <c r="D18" s="3"/>
      <c r="E18" s="3">
        <f>ExpenseDetails[[#This Row],[Estimated]]-ExpenseDetails[[#This Row],[Actual]]</f>
        <v>0</v>
      </c>
      <c r="F18" s="3"/>
      <c r="G18" s="3">
        <f>ExpenseDetails[[#This Row],[Prior Year]]-ExpenseDetails[[#This Row],[Actual]]</f>
        <v>0</v>
      </c>
      <c r="H18" s="2">
        <f>ExpenseDetails[[#This Row],[Prior Year Variance]]</f>
        <v>0</v>
      </c>
    </row>
    <row r="19" spans="1:8" x14ac:dyDescent="0.2">
      <c r="A19" t="s">
        <v>2</v>
      </c>
      <c r="B19" t="s">
        <v>29</v>
      </c>
      <c r="C19" s="3"/>
      <c r="D19" s="3"/>
      <c r="E19" s="3">
        <f>ExpenseDetails[[#This Row],[Estimated]]-ExpenseDetails[[#This Row],[Actual]]</f>
        <v>0</v>
      </c>
      <c r="F19" s="3"/>
      <c r="G19" s="3">
        <f>ExpenseDetails[[#This Row],[Prior Year]]-ExpenseDetails[[#This Row],[Actual]]</f>
        <v>0</v>
      </c>
      <c r="H19" s="2">
        <f>ExpenseDetails[[#This Row],[Prior Year Variance]]</f>
        <v>0</v>
      </c>
    </row>
    <row r="20" spans="1:8" x14ac:dyDescent="0.2">
      <c r="A20" t="s">
        <v>2</v>
      </c>
      <c r="B20" t="s">
        <v>12</v>
      </c>
      <c r="C20" s="3"/>
      <c r="D20" s="3"/>
      <c r="E20" s="3">
        <f>ExpenseDetails[[#This Row],[Estimated]]-ExpenseDetails[[#This Row],[Actual]]</f>
        <v>0</v>
      </c>
      <c r="F20" s="3"/>
      <c r="G20" s="3">
        <f>ExpenseDetails[[#This Row],[Prior Year]]-ExpenseDetails[[#This Row],[Actual]]</f>
        <v>0</v>
      </c>
      <c r="H20" s="2">
        <f>ExpenseDetails[[#This Row],[Prior Year Variance]]</f>
        <v>0</v>
      </c>
    </row>
    <row r="21" spans="1:8" x14ac:dyDescent="0.2">
      <c r="A21" t="s">
        <v>2</v>
      </c>
      <c r="B21" t="s">
        <v>13</v>
      </c>
      <c r="C21" s="3"/>
      <c r="D21" s="3"/>
      <c r="E21" s="3">
        <f>ExpenseDetails[[#This Row],[Estimated]]-ExpenseDetails[[#This Row],[Actual]]</f>
        <v>0</v>
      </c>
      <c r="F21" s="3"/>
      <c r="G21" s="3">
        <f>ExpenseDetails[[#This Row],[Prior Year]]-ExpenseDetails[[#This Row],[Actual]]</f>
        <v>0</v>
      </c>
      <c r="H21" s="2">
        <f>ExpenseDetails[[#This Row],[Prior Year Variance]]</f>
        <v>0</v>
      </c>
    </row>
    <row r="22" spans="1:8" x14ac:dyDescent="0.2">
      <c r="A22" t="s">
        <v>2</v>
      </c>
      <c r="B22" t="s">
        <v>11</v>
      </c>
      <c r="C22" s="3"/>
      <c r="D22" s="3"/>
      <c r="E22" s="3">
        <f>ExpenseDetails[[#This Row],[Estimated]]-ExpenseDetails[[#This Row],[Actual]]</f>
        <v>0</v>
      </c>
      <c r="F22" s="3"/>
      <c r="G22" s="3">
        <f>ExpenseDetails[[#This Row],[Prior Year]]-ExpenseDetails[[#This Row],[Actual]]</f>
        <v>0</v>
      </c>
      <c r="H22" s="2">
        <f>ExpenseDetails[[#This Row],[Prior Year Variance]]</f>
        <v>0</v>
      </c>
    </row>
    <row r="23" spans="1:8" x14ac:dyDescent="0.2">
      <c r="A23" t="s">
        <v>2</v>
      </c>
      <c r="B23" t="s">
        <v>27</v>
      </c>
      <c r="C23" s="3"/>
      <c r="D23" s="3"/>
      <c r="E23" s="3">
        <f>ExpenseDetails[[#This Row],[Estimated]]-ExpenseDetails[[#This Row],[Actual]]</f>
        <v>0</v>
      </c>
      <c r="F23" s="3"/>
      <c r="G23" s="3">
        <f>ExpenseDetails[[#This Row],[Prior Year]]-ExpenseDetails[[#This Row],[Actual]]</f>
        <v>0</v>
      </c>
      <c r="H23" s="2">
        <f>ExpenseDetails[[#This Row],[Prior Year Variance]]</f>
        <v>0</v>
      </c>
    </row>
    <row r="24" spans="1:8" x14ac:dyDescent="0.2">
      <c r="A24" t="s">
        <v>3</v>
      </c>
      <c r="B24" t="s">
        <v>25</v>
      </c>
      <c r="C24" s="3"/>
      <c r="D24" s="3"/>
      <c r="E24" s="3">
        <f>ExpenseDetails[[#This Row],[Estimated]]-ExpenseDetails[[#This Row],[Actual]]</f>
        <v>0</v>
      </c>
      <c r="F24" s="3"/>
      <c r="G24" s="3">
        <f>ExpenseDetails[[#This Row],[Prior Year]]-ExpenseDetails[[#This Row],[Actual]]</f>
        <v>0</v>
      </c>
      <c r="H24" s="2">
        <f>ExpenseDetails[[#This Row],[Prior Year Variance]]</f>
        <v>0</v>
      </c>
    </row>
    <row r="25" spans="1:8" x14ac:dyDescent="0.2">
      <c r="A25" t="s">
        <v>3</v>
      </c>
      <c r="B25" t="s">
        <v>25</v>
      </c>
      <c r="C25" s="3"/>
      <c r="D25" s="3"/>
      <c r="E25" s="3">
        <f>ExpenseDetails[[#This Row],[Estimated]]-ExpenseDetails[[#This Row],[Actual]]</f>
        <v>0</v>
      </c>
      <c r="F25" s="3"/>
      <c r="G25" s="3">
        <f>ExpenseDetails[[#This Row],[Prior Year]]-ExpenseDetails[[#This Row],[Actual]]</f>
        <v>0</v>
      </c>
      <c r="H25" s="2">
        <f>ExpenseDetails[[#This Row],[Prior Year Variance]]</f>
        <v>0</v>
      </c>
    </row>
    <row r="26" spans="1:8" x14ac:dyDescent="0.2">
      <c r="A26" t="s">
        <v>3</v>
      </c>
      <c r="B26" t="s">
        <v>26</v>
      </c>
      <c r="C26" s="3"/>
      <c r="D26" s="3"/>
      <c r="E26" s="3">
        <f>ExpenseDetails[[#This Row],[Estimated]]-ExpenseDetails[[#This Row],[Actual]]</f>
        <v>0</v>
      </c>
      <c r="F26" s="3"/>
      <c r="G26" s="3">
        <f>ExpenseDetails[[#This Row],[Prior Year]]-ExpenseDetails[[#This Row],[Actual]]</f>
        <v>0</v>
      </c>
      <c r="H26" s="2">
        <f>ExpenseDetails[[#This Row],[Prior Year Variance]]</f>
        <v>0</v>
      </c>
    </row>
    <row r="27" spans="1:8" x14ac:dyDescent="0.2">
      <c r="A27" t="s">
        <v>3</v>
      </c>
      <c r="B27" t="s">
        <v>28</v>
      </c>
      <c r="C27" s="3"/>
      <c r="D27" s="3"/>
      <c r="E27" s="3">
        <f>ExpenseDetails[[#This Row],[Estimated]]-ExpenseDetails[[#This Row],[Actual]]</f>
        <v>0</v>
      </c>
      <c r="F27" s="3"/>
      <c r="G27" s="3">
        <f>ExpenseDetails[[#This Row],[Prior Year]]-ExpenseDetails[[#This Row],[Actual]]</f>
        <v>0</v>
      </c>
      <c r="H27" s="2">
        <f>ExpenseDetails[[#This Row],[Prior Year Variance]]</f>
        <v>0</v>
      </c>
    </row>
    <row r="28" spans="1:8" x14ac:dyDescent="0.2">
      <c r="A28" t="s">
        <v>3</v>
      </c>
      <c r="B28" t="s">
        <v>14</v>
      </c>
      <c r="C28" s="3"/>
      <c r="D28" s="3"/>
      <c r="E28" s="3">
        <f>ExpenseDetails[[#This Row],[Estimated]]-ExpenseDetails[[#This Row],[Actual]]</f>
        <v>0</v>
      </c>
      <c r="F28" s="3"/>
      <c r="G28" s="3">
        <f>ExpenseDetails[[#This Row],[Prior Year]]-ExpenseDetails[[#This Row],[Actual]]</f>
        <v>0</v>
      </c>
      <c r="H28" s="2">
        <f>ExpenseDetails[[#This Row],[Prior Year Variance]]</f>
        <v>0</v>
      </c>
    </row>
    <row r="29" spans="1:8" x14ac:dyDescent="0.2">
      <c r="A29" t="s">
        <v>3</v>
      </c>
      <c r="B29" t="s">
        <v>31</v>
      </c>
      <c r="C29" s="3"/>
      <c r="D29" s="3"/>
      <c r="E29" s="3">
        <f>ExpenseDetails[[#This Row],[Estimated]]-ExpenseDetails[[#This Row],[Actual]]</f>
        <v>0</v>
      </c>
      <c r="F29" s="3"/>
      <c r="G29" s="3">
        <f>ExpenseDetails[[#This Row],[Prior Year]]-ExpenseDetails[[#This Row],[Actual]]</f>
        <v>0</v>
      </c>
      <c r="H29" s="2">
        <f>ExpenseDetails[[#This Row],[Prior Year Variance]]</f>
        <v>0</v>
      </c>
    </row>
    <row r="30" spans="1:8" x14ac:dyDescent="0.2">
      <c r="A30" t="s">
        <v>3</v>
      </c>
      <c r="B30" t="s">
        <v>29</v>
      </c>
      <c r="C30" s="3"/>
      <c r="D30" s="3"/>
      <c r="E30" s="3">
        <f>ExpenseDetails[[#This Row],[Estimated]]-ExpenseDetails[[#This Row],[Actual]]</f>
        <v>0</v>
      </c>
      <c r="F30" s="3"/>
      <c r="G30" s="3">
        <f>ExpenseDetails[[#This Row],[Prior Year]]-ExpenseDetails[[#This Row],[Actual]]</f>
        <v>0</v>
      </c>
      <c r="H30" s="2">
        <f>ExpenseDetails[[#This Row],[Prior Year Variance]]</f>
        <v>0</v>
      </c>
    </row>
    <row r="31" spans="1:8" x14ac:dyDescent="0.2">
      <c r="A31" t="s">
        <v>3</v>
      </c>
      <c r="B31" t="s">
        <v>12</v>
      </c>
      <c r="C31" s="3"/>
      <c r="D31" s="3"/>
      <c r="E31" s="3">
        <f>ExpenseDetails[[#This Row],[Estimated]]-ExpenseDetails[[#This Row],[Actual]]</f>
        <v>0</v>
      </c>
      <c r="F31" s="3"/>
      <c r="G31" s="3">
        <f>ExpenseDetails[[#This Row],[Prior Year]]-ExpenseDetails[[#This Row],[Actual]]</f>
        <v>0</v>
      </c>
      <c r="H31" s="2">
        <f>ExpenseDetails[[#This Row],[Prior Year Variance]]</f>
        <v>0</v>
      </c>
    </row>
    <row r="32" spans="1:8" x14ac:dyDescent="0.2">
      <c r="A32" t="s">
        <v>3</v>
      </c>
      <c r="B32" t="s">
        <v>13</v>
      </c>
      <c r="C32" s="3"/>
      <c r="D32" s="3"/>
      <c r="E32" s="3">
        <f>ExpenseDetails[[#This Row],[Estimated]]-ExpenseDetails[[#This Row],[Actual]]</f>
        <v>0</v>
      </c>
      <c r="F32" s="3"/>
      <c r="G32" s="3">
        <f>ExpenseDetails[[#This Row],[Prior Year]]-ExpenseDetails[[#This Row],[Actual]]</f>
        <v>0</v>
      </c>
      <c r="H32" s="2">
        <f>ExpenseDetails[[#This Row],[Prior Year Variance]]</f>
        <v>0</v>
      </c>
    </row>
    <row r="33" spans="1:8" x14ac:dyDescent="0.2">
      <c r="A33" t="s">
        <v>3</v>
      </c>
      <c r="B33" t="s">
        <v>11</v>
      </c>
      <c r="C33" s="3"/>
      <c r="D33" s="3"/>
      <c r="E33" s="3">
        <f>ExpenseDetails[[#This Row],[Estimated]]-ExpenseDetails[[#This Row],[Actual]]</f>
        <v>0</v>
      </c>
      <c r="F33" s="3"/>
      <c r="G33" s="3">
        <f>ExpenseDetails[[#This Row],[Prior Year]]-ExpenseDetails[[#This Row],[Actual]]</f>
        <v>0</v>
      </c>
      <c r="H33" s="2">
        <f>ExpenseDetails[[#This Row],[Prior Year Variance]]</f>
        <v>0</v>
      </c>
    </row>
    <row r="34" spans="1:8" x14ac:dyDescent="0.2">
      <c r="A34" t="s">
        <v>3</v>
      </c>
      <c r="B34" t="s">
        <v>27</v>
      </c>
      <c r="C34" s="3"/>
      <c r="D34" s="3"/>
      <c r="E34" s="3">
        <f>ExpenseDetails[[#This Row],[Estimated]]-ExpenseDetails[[#This Row],[Actual]]</f>
        <v>0</v>
      </c>
      <c r="F34" s="3"/>
      <c r="G34" s="3">
        <f>ExpenseDetails[[#This Row],[Prior Year]]-ExpenseDetails[[#This Row],[Actual]]</f>
        <v>0</v>
      </c>
      <c r="H34" s="2">
        <f>ExpenseDetails[[#This Row],[Prior Year Variance]]</f>
        <v>0</v>
      </c>
    </row>
    <row r="35" spans="1:8" x14ac:dyDescent="0.2">
      <c r="A35" t="s">
        <v>4</v>
      </c>
      <c r="B35" t="s">
        <v>25</v>
      </c>
      <c r="C35" s="3"/>
      <c r="D35" s="3"/>
      <c r="E35" s="3">
        <f>ExpenseDetails[[#This Row],[Estimated]]-ExpenseDetails[[#This Row],[Actual]]</f>
        <v>0</v>
      </c>
      <c r="F35" s="3"/>
      <c r="G35" s="3">
        <f>ExpenseDetails[[#This Row],[Prior Year]]-ExpenseDetails[[#This Row],[Actual]]</f>
        <v>0</v>
      </c>
      <c r="H35" s="2">
        <f>ExpenseDetails[[#This Row],[Prior Year Variance]]</f>
        <v>0</v>
      </c>
    </row>
    <row r="36" spans="1:8" x14ac:dyDescent="0.2">
      <c r="A36" t="s">
        <v>4</v>
      </c>
      <c r="B36" t="s">
        <v>25</v>
      </c>
      <c r="C36" s="3"/>
      <c r="D36" s="3"/>
      <c r="E36" s="3">
        <f>ExpenseDetails[[#This Row],[Estimated]]-ExpenseDetails[[#This Row],[Actual]]</f>
        <v>0</v>
      </c>
      <c r="F36" s="3"/>
      <c r="G36" s="3">
        <f>ExpenseDetails[[#This Row],[Prior Year]]-ExpenseDetails[[#This Row],[Actual]]</f>
        <v>0</v>
      </c>
      <c r="H36" s="2">
        <f>ExpenseDetails[[#This Row],[Prior Year Variance]]</f>
        <v>0</v>
      </c>
    </row>
    <row r="37" spans="1:8" x14ac:dyDescent="0.2">
      <c r="A37" t="s">
        <v>4</v>
      </c>
      <c r="B37" t="s">
        <v>26</v>
      </c>
      <c r="C37" s="3"/>
      <c r="D37" s="3"/>
      <c r="E37" s="3">
        <f>ExpenseDetails[[#This Row],[Estimated]]-ExpenseDetails[[#This Row],[Actual]]</f>
        <v>0</v>
      </c>
      <c r="F37" s="3"/>
      <c r="G37" s="3">
        <f>ExpenseDetails[[#This Row],[Prior Year]]-ExpenseDetails[[#This Row],[Actual]]</f>
        <v>0</v>
      </c>
      <c r="H37" s="2">
        <f>ExpenseDetails[[#This Row],[Prior Year Variance]]</f>
        <v>0</v>
      </c>
    </row>
    <row r="38" spans="1:8" x14ac:dyDescent="0.2">
      <c r="A38" t="s">
        <v>4</v>
      </c>
      <c r="B38" t="s">
        <v>28</v>
      </c>
      <c r="C38" s="3"/>
      <c r="D38" s="3"/>
      <c r="E38" s="3">
        <f>ExpenseDetails[[#This Row],[Estimated]]-ExpenseDetails[[#This Row],[Actual]]</f>
        <v>0</v>
      </c>
      <c r="F38" s="3"/>
      <c r="G38" s="3">
        <f>ExpenseDetails[[#This Row],[Prior Year]]-ExpenseDetails[[#This Row],[Actual]]</f>
        <v>0</v>
      </c>
      <c r="H38" s="2">
        <f>ExpenseDetails[[#This Row],[Prior Year Variance]]</f>
        <v>0</v>
      </c>
    </row>
    <row r="39" spans="1:8" x14ac:dyDescent="0.2">
      <c r="A39" t="s">
        <v>4</v>
      </c>
      <c r="B39" t="s">
        <v>14</v>
      </c>
      <c r="C39" s="3"/>
      <c r="D39" s="3"/>
      <c r="E39" s="3">
        <f>ExpenseDetails[[#This Row],[Estimated]]-ExpenseDetails[[#This Row],[Actual]]</f>
        <v>0</v>
      </c>
      <c r="F39" s="3"/>
      <c r="G39" s="3">
        <f>ExpenseDetails[[#This Row],[Prior Year]]-ExpenseDetails[[#This Row],[Actual]]</f>
        <v>0</v>
      </c>
      <c r="H39" s="2">
        <f>ExpenseDetails[[#This Row],[Prior Year Variance]]</f>
        <v>0</v>
      </c>
    </row>
    <row r="40" spans="1:8" x14ac:dyDescent="0.2">
      <c r="A40" t="s">
        <v>4</v>
      </c>
      <c r="B40" t="s">
        <v>31</v>
      </c>
      <c r="C40" s="3"/>
      <c r="D40" s="3"/>
      <c r="E40" s="3">
        <f>ExpenseDetails[[#This Row],[Estimated]]-ExpenseDetails[[#This Row],[Actual]]</f>
        <v>0</v>
      </c>
      <c r="F40" s="3"/>
      <c r="G40" s="3">
        <f>ExpenseDetails[[#This Row],[Prior Year]]-ExpenseDetails[[#This Row],[Actual]]</f>
        <v>0</v>
      </c>
      <c r="H40" s="2">
        <f>ExpenseDetails[[#This Row],[Prior Year Variance]]</f>
        <v>0</v>
      </c>
    </row>
    <row r="41" spans="1:8" x14ac:dyDescent="0.2">
      <c r="A41" t="s">
        <v>4</v>
      </c>
      <c r="B41" t="s">
        <v>29</v>
      </c>
      <c r="C41" s="3"/>
      <c r="D41" s="3"/>
      <c r="E41" s="3">
        <f>ExpenseDetails[[#This Row],[Estimated]]-ExpenseDetails[[#This Row],[Actual]]</f>
        <v>0</v>
      </c>
      <c r="F41" s="3"/>
      <c r="G41" s="3">
        <f>ExpenseDetails[[#This Row],[Prior Year]]-ExpenseDetails[[#This Row],[Actual]]</f>
        <v>0</v>
      </c>
      <c r="H41" s="2">
        <f>ExpenseDetails[[#This Row],[Prior Year Variance]]</f>
        <v>0</v>
      </c>
    </row>
    <row r="42" spans="1:8" x14ac:dyDescent="0.2">
      <c r="A42" t="s">
        <v>4</v>
      </c>
      <c r="B42" t="s">
        <v>12</v>
      </c>
      <c r="C42" s="3"/>
      <c r="D42" s="3"/>
      <c r="E42" s="3">
        <f>ExpenseDetails[[#This Row],[Estimated]]-ExpenseDetails[[#This Row],[Actual]]</f>
        <v>0</v>
      </c>
      <c r="F42" s="3"/>
      <c r="G42" s="3">
        <f>ExpenseDetails[[#This Row],[Prior Year]]-ExpenseDetails[[#This Row],[Actual]]</f>
        <v>0</v>
      </c>
      <c r="H42" s="2">
        <f>ExpenseDetails[[#This Row],[Prior Year Variance]]</f>
        <v>0</v>
      </c>
    </row>
    <row r="43" spans="1:8" x14ac:dyDescent="0.2">
      <c r="A43" t="s">
        <v>4</v>
      </c>
      <c r="B43" t="s">
        <v>13</v>
      </c>
      <c r="C43" s="3"/>
      <c r="D43" s="3"/>
      <c r="E43" s="3">
        <f>ExpenseDetails[[#This Row],[Estimated]]-ExpenseDetails[[#This Row],[Actual]]</f>
        <v>0</v>
      </c>
      <c r="F43" s="3"/>
      <c r="G43" s="3">
        <f>ExpenseDetails[[#This Row],[Prior Year]]-ExpenseDetails[[#This Row],[Actual]]</f>
        <v>0</v>
      </c>
      <c r="H43" s="2">
        <f>ExpenseDetails[[#This Row],[Prior Year Variance]]</f>
        <v>0</v>
      </c>
    </row>
    <row r="44" spans="1:8" x14ac:dyDescent="0.2">
      <c r="A44" t="s">
        <v>4</v>
      </c>
      <c r="B44" t="s">
        <v>11</v>
      </c>
      <c r="C44" s="3"/>
      <c r="D44" s="3"/>
      <c r="E44" s="3">
        <f>ExpenseDetails[[#This Row],[Estimated]]-ExpenseDetails[[#This Row],[Actual]]</f>
        <v>0</v>
      </c>
      <c r="F44" s="3"/>
      <c r="G44" s="3">
        <f>ExpenseDetails[[#This Row],[Prior Year]]-ExpenseDetails[[#This Row],[Actual]]</f>
        <v>0</v>
      </c>
      <c r="H44" s="2">
        <f>ExpenseDetails[[#This Row],[Prior Year Variance]]</f>
        <v>0</v>
      </c>
    </row>
    <row r="45" spans="1:8" x14ac:dyDescent="0.2">
      <c r="A45" t="s">
        <v>4</v>
      </c>
      <c r="B45" t="s">
        <v>27</v>
      </c>
      <c r="C45" s="3"/>
      <c r="D45" s="3"/>
      <c r="E45" s="3">
        <f>ExpenseDetails[[#This Row],[Estimated]]-ExpenseDetails[[#This Row],[Actual]]</f>
        <v>0</v>
      </c>
      <c r="F45" s="3"/>
      <c r="G45" s="3">
        <f>ExpenseDetails[[#This Row],[Prior Year]]-ExpenseDetails[[#This Row],[Actual]]</f>
        <v>0</v>
      </c>
      <c r="H45" s="2">
        <f>ExpenseDetails[[#This Row],[Prior Year Variance]]</f>
        <v>0</v>
      </c>
    </row>
    <row r="46" spans="1:8" x14ac:dyDescent="0.2">
      <c r="A46" t="s">
        <v>15</v>
      </c>
      <c r="B46" t="s">
        <v>25</v>
      </c>
      <c r="C46" s="3"/>
      <c r="D46" s="3"/>
      <c r="E46" s="3">
        <f>ExpenseDetails[[#This Row],[Estimated]]-ExpenseDetails[[#This Row],[Actual]]</f>
        <v>0</v>
      </c>
      <c r="F46" s="3"/>
      <c r="G46" s="3">
        <f>ExpenseDetails[[#This Row],[Prior Year]]-ExpenseDetails[[#This Row],[Actual]]</f>
        <v>0</v>
      </c>
      <c r="H46" s="2">
        <f>ExpenseDetails[[#This Row],[Prior Year Variance]]</f>
        <v>0</v>
      </c>
    </row>
    <row r="47" spans="1:8" x14ac:dyDescent="0.2">
      <c r="A47" t="s">
        <v>15</v>
      </c>
      <c r="B47" t="s">
        <v>25</v>
      </c>
      <c r="C47" s="3"/>
      <c r="D47" s="3"/>
      <c r="E47" s="3">
        <f>ExpenseDetails[[#This Row],[Estimated]]-ExpenseDetails[[#This Row],[Actual]]</f>
        <v>0</v>
      </c>
      <c r="F47" s="3"/>
      <c r="G47" s="3">
        <f>ExpenseDetails[[#This Row],[Prior Year]]-ExpenseDetails[[#This Row],[Actual]]</f>
        <v>0</v>
      </c>
      <c r="H47" s="2">
        <f>ExpenseDetails[[#This Row],[Prior Year Variance]]</f>
        <v>0</v>
      </c>
    </row>
    <row r="48" spans="1:8" x14ac:dyDescent="0.2">
      <c r="A48" t="s">
        <v>15</v>
      </c>
      <c r="B48" t="s">
        <v>26</v>
      </c>
      <c r="C48" s="3"/>
      <c r="D48" s="3"/>
      <c r="E48" s="3">
        <f>ExpenseDetails[[#This Row],[Estimated]]-ExpenseDetails[[#This Row],[Actual]]</f>
        <v>0</v>
      </c>
      <c r="F48" s="3"/>
      <c r="G48" s="3">
        <f>ExpenseDetails[[#This Row],[Prior Year]]-ExpenseDetails[[#This Row],[Actual]]</f>
        <v>0</v>
      </c>
      <c r="H48" s="2">
        <f>ExpenseDetails[[#This Row],[Prior Year Variance]]</f>
        <v>0</v>
      </c>
    </row>
    <row r="49" spans="1:8" x14ac:dyDescent="0.2">
      <c r="A49" t="s">
        <v>15</v>
      </c>
      <c r="B49" t="s">
        <v>28</v>
      </c>
      <c r="C49" s="3"/>
      <c r="D49" s="3"/>
      <c r="E49" s="3">
        <f>ExpenseDetails[[#This Row],[Estimated]]-ExpenseDetails[[#This Row],[Actual]]</f>
        <v>0</v>
      </c>
      <c r="F49" s="3"/>
      <c r="G49" s="3">
        <f>ExpenseDetails[[#This Row],[Prior Year]]-ExpenseDetails[[#This Row],[Actual]]</f>
        <v>0</v>
      </c>
      <c r="H49" s="2">
        <f>ExpenseDetails[[#This Row],[Prior Year Variance]]</f>
        <v>0</v>
      </c>
    </row>
    <row r="50" spans="1:8" x14ac:dyDescent="0.2">
      <c r="A50" t="s">
        <v>15</v>
      </c>
      <c r="B50" t="s">
        <v>14</v>
      </c>
      <c r="C50" s="3"/>
      <c r="D50" s="3"/>
      <c r="E50" s="3">
        <f>ExpenseDetails[[#This Row],[Estimated]]-ExpenseDetails[[#This Row],[Actual]]</f>
        <v>0</v>
      </c>
      <c r="F50" s="3"/>
      <c r="G50" s="3">
        <f>ExpenseDetails[[#This Row],[Prior Year]]-ExpenseDetails[[#This Row],[Actual]]</f>
        <v>0</v>
      </c>
      <c r="H50" s="2">
        <f>ExpenseDetails[[#This Row],[Prior Year Variance]]</f>
        <v>0</v>
      </c>
    </row>
    <row r="51" spans="1:8" x14ac:dyDescent="0.2">
      <c r="A51" t="s">
        <v>15</v>
      </c>
      <c r="B51" t="s">
        <v>31</v>
      </c>
      <c r="C51" s="3"/>
      <c r="D51" s="3"/>
      <c r="E51" s="3">
        <f>ExpenseDetails[[#This Row],[Estimated]]-ExpenseDetails[[#This Row],[Actual]]</f>
        <v>0</v>
      </c>
      <c r="F51" s="3"/>
      <c r="G51" s="3">
        <f>ExpenseDetails[[#This Row],[Prior Year]]-ExpenseDetails[[#This Row],[Actual]]</f>
        <v>0</v>
      </c>
      <c r="H51" s="2">
        <f>ExpenseDetails[[#This Row],[Prior Year Variance]]</f>
        <v>0</v>
      </c>
    </row>
    <row r="52" spans="1:8" x14ac:dyDescent="0.2">
      <c r="A52" t="s">
        <v>15</v>
      </c>
      <c r="B52" t="s">
        <v>29</v>
      </c>
      <c r="C52" s="3"/>
      <c r="D52" s="3"/>
      <c r="E52" s="3">
        <f>ExpenseDetails[[#This Row],[Estimated]]-ExpenseDetails[[#This Row],[Actual]]</f>
        <v>0</v>
      </c>
      <c r="F52" s="3"/>
      <c r="G52" s="3">
        <f>ExpenseDetails[[#This Row],[Prior Year]]-ExpenseDetails[[#This Row],[Actual]]</f>
        <v>0</v>
      </c>
      <c r="H52" s="2">
        <f>ExpenseDetails[[#This Row],[Prior Year Variance]]</f>
        <v>0</v>
      </c>
    </row>
    <row r="53" spans="1:8" x14ac:dyDescent="0.2">
      <c r="A53" t="s">
        <v>15</v>
      </c>
      <c r="B53" t="s">
        <v>12</v>
      </c>
      <c r="C53" s="3"/>
      <c r="D53" s="3"/>
      <c r="E53" s="3">
        <f>ExpenseDetails[[#This Row],[Estimated]]-ExpenseDetails[[#This Row],[Actual]]</f>
        <v>0</v>
      </c>
      <c r="F53" s="3"/>
      <c r="G53" s="3">
        <f>ExpenseDetails[[#This Row],[Prior Year]]-ExpenseDetails[[#This Row],[Actual]]</f>
        <v>0</v>
      </c>
      <c r="H53" s="2">
        <f>ExpenseDetails[[#This Row],[Prior Year Variance]]</f>
        <v>0</v>
      </c>
    </row>
    <row r="54" spans="1:8" x14ac:dyDescent="0.2">
      <c r="A54" t="s">
        <v>15</v>
      </c>
      <c r="B54" t="s">
        <v>13</v>
      </c>
      <c r="C54" s="3"/>
      <c r="D54" s="3"/>
      <c r="E54" s="3">
        <f>ExpenseDetails[[#This Row],[Estimated]]-ExpenseDetails[[#This Row],[Actual]]</f>
        <v>0</v>
      </c>
      <c r="F54" s="3"/>
      <c r="G54" s="3">
        <f>ExpenseDetails[[#This Row],[Prior Year]]-ExpenseDetails[[#This Row],[Actual]]</f>
        <v>0</v>
      </c>
      <c r="H54" s="2">
        <f>ExpenseDetails[[#This Row],[Prior Year Variance]]</f>
        <v>0</v>
      </c>
    </row>
    <row r="55" spans="1:8" x14ac:dyDescent="0.2">
      <c r="A55" t="s">
        <v>15</v>
      </c>
      <c r="B55" t="s">
        <v>11</v>
      </c>
      <c r="C55" s="3"/>
      <c r="D55" s="3"/>
      <c r="E55" s="3">
        <f>ExpenseDetails[[#This Row],[Estimated]]-ExpenseDetails[[#This Row],[Actual]]</f>
        <v>0</v>
      </c>
      <c r="F55" s="3"/>
      <c r="G55" s="3">
        <f>ExpenseDetails[[#This Row],[Prior Year]]-ExpenseDetails[[#This Row],[Actual]]</f>
        <v>0</v>
      </c>
      <c r="H55" s="2">
        <f>ExpenseDetails[[#This Row],[Prior Year Variance]]</f>
        <v>0</v>
      </c>
    </row>
    <row r="56" spans="1:8" x14ac:dyDescent="0.2">
      <c r="A56" t="s">
        <v>15</v>
      </c>
      <c r="B56" t="s">
        <v>27</v>
      </c>
      <c r="C56" s="3"/>
      <c r="D56" s="3"/>
      <c r="E56" s="3">
        <f>ExpenseDetails[[#This Row],[Estimated]]-ExpenseDetails[[#This Row],[Actual]]</f>
        <v>0</v>
      </c>
      <c r="F56" s="3"/>
      <c r="G56" s="3">
        <f>ExpenseDetails[[#This Row],[Prior Year]]-ExpenseDetails[[#This Row],[Actual]]</f>
        <v>0</v>
      </c>
      <c r="H56" s="2">
        <f>ExpenseDetails[[#This Row],[Prior Year Variance]]</f>
        <v>0</v>
      </c>
    </row>
    <row r="57" spans="1:8" x14ac:dyDescent="0.2">
      <c r="A57" t="s">
        <v>16</v>
      </c>
      <c r="B57" t="s">
        <v>25</v>
      </c>
      <c r="C57" s="3"/>
      <c r="D57" s="3"/>
      <c r="E57" s="3">
        <f>ExpenseDetails[[#This Row],[Estimated]]-ExpenseDetails[[#This Row],[Actual]]</f>
        <v>0</v>
      </c>
      <c r="F57" s="3"/>
      <c r="G57" s="3">
        <f>ExpenseDetails[[#This Row],[Prior Year]]-ExpenseDetails[[#This Row],[Actual]]</f>
        <v>0</v>
      </c>
      <c r="H57" s="2">
        <f>ExpenseDetails[[#This Row],[Prior Year Variance]]</f>
        <v>0</v>
      </c>
    </row>
    <row r="58" spans="1:8" x14ac:dyDescent="0.2">
      <c r="A58" t="s">
        <v>16</v>
      </c>
      <c r="B58" t="s">
        <v>25</v>
      </c>
      <c r="C58" s="3"/>
      <c r="D58" s="3"/>
      <c r="E58" s="3">
        <f>ExpenseDetails[[#This Row],[Estimated]]-ExpenseDetails[[#This Row],[Actual]]</f>
        <v>0</v>
      </c>
      <c r="F58" s="3"/>
      <c r="G58" s="3">
        <f>ExpenseDetails[[#This Row],[Prior Year]]-ExpenseDetails[[#This Row],[Actual]]</f>
        <v>0</v>
      </c>
      <c r="H58" s="2">
        <f>ExpenseDetails[[#This Row],[Prior Year Variance]]</f>
        <v>0</v>
      </c>
    </row>
    <row r="59" spans="1:8" x14ac:dyDescent="0.2">
      <c r="A59" t="s">
        <v>16</v>
      </c>
      <c r="B59" t="s">
        <v>26</v>
      </c>
      <c r="C59" s="3"/>
      <c r="D59" s="3"/>
      <c r="E59" s="3">
        <f>ExpenseDetails[[#This Row],[Estimated]]-ExpenseDetails[[#This Row],[Actual]]</f>
        <v>0</v>
      </c>
      <c r="F59" s="3"/>
      <c r="G59" s="3">
        <f>ExpenseDetails[[#This Row],[Prior Year]]-ExpenseDetails[[#This Row],[Actual]]</f>
        <v>0</v>
      </c>
      <c r="H59" s="2">
        <f>ExpenseDetails[[#This Row],[Prior Year Variance]]</f>
        <v>0</v>
      </c>
    </row>
    <row r="60" spans="1:8" x14ac:dyDescent="0.2">
      <c r="A60" t="s">
        <v>16</v>
      </c>
      <c r="B60" t="s">
        <v>28</v>
      </c>
      <c r="C60" s="3"/>
      <c r="D60" s="3"/>
      <c r="E60" s="3">
        <f>ExpenseDetails[[#This Row],[Estimated]]-ExpenseDetails[[#This Row],[Actual]]</f>
        <v>0</v>
      </c>
      <c r="F60" s="3"/>
      <c r="G60" s="3">
        <f>ExpenseDetails[[#This Row],[Prior Year]]-ExpenseDetails[[#This Row],[Actual]]</f>
        <v>0</v>
      </c>
      <c r="H60" s="2">
        <f>ExpenseDetails[[#This Row],[Prior Year Variance]]</f>
        <v>0</v>
      </c>
    </row>
    <row r="61" spans="1:8" x14ac:dyDescent="0.2">
      <c r="A61" t="s">
        <v>16</v>
      </c>
      <c r="B61" t="s">
        <v>14</v>
      </c>
      <c r="C61" s="3"/>
      <c r="D61" s="3"/>
      <c r="E61" s="3">
        <f>ExpenseDetails[[#This Row],[Estimated]]-ExpenseDetails[[#This Row],[Actual]]</f>
        <v>0</v>
      </c>
      <c r="F61" s="3"/>
      <c r="G61" s="3">
        <f>ExpenseDetails[[#This Row],[Prior Year]]-ExpenseDetails[[#This Row],[Actual]]</f>
        <v>0</v>
      </c>
      <c r="H61" s="2">
        <f>ExpenseDetails[[#This Row],[Prior Year Variance]]</f>
        <v>0</v>
      </c>
    </row>
    <row r="62" spans="1:8" x14ac:dyDescent="0.2">
      <c r="A62" t="s">
        <v>16</v>
      </c>
      <c r="B62" t="s">
        <v>31</v>
      </c>
      <c r="C62" s="3"/>
      <c r="D62" s="3"/>
      <c r="E62" s="3">
        <f>ExpenseDetails[[#This Row],[Estimated]]-ExpenseDetails[[#This Row],[Actual]]</f>
        <v>0</v>
      </c>
      <c r="F62" s="3"/>
      <c r="G62" s="3">
        <f>ExpenseDetails[[#This Row],[Prior Year]]-ExpenseDetails[[#This Row],[Actual]]</f>
        <v>0</v>
      </c>
      <c r="H62" s="2">
        <f>ExpenseDetails[[#This Row],[Prior Year Variance]]</f>
        <v>0</v>
      </c>
    </row>
    <row r="63" spans="1:8" x14ac:dyDescent="0.2">
      <c r="A63" t="s">
        <v>16</v>
      </c>
      <c r="B63" t="s">
        <v>29</v>
      </c>
      <c r="C63" s="3"/>
      <c r="D63" s="3"/>
      <c r="E63" s="3">
        <f>ExpenseDetails[[#This Row],[Estimated]]-ExpenseDetails[[#This Row],[Actual]]</f>
        <v>0</v>
      </c>
      <c r="F63" s="3"/>
      <c r="G63" s="3">
        <f>ExpenseDetails[[#This Row],[Prior Year]]-ExpenseDetails[[#This Row],[Actual]]</f>
        <v>0</v>
      </c>
      <c r="H63" s="2">
        <f>ExpenseDetails[[#This Row],[Prior Year Variance]]</f>
        <v>0</v>
      </c>
    </row>
    <row r="64" spans="1:8" x14ac:dyDescent="0.2">
      <c r="A64" t="s">
        <v>16</v>
      </c>
      <c r="B64" t="s">
        <v>12</v>
      </c>
      <c r="C64" s="3"/>
      <c r="D64" s="3"/>
      <c r="E64" s="3">
        <f>ExpenseDetails[[#This Row],[Estimated]]-ExpenseDetails[[#This Row],[Actual]]</f>
        <v>0</v>
      </c>
      <c r="F64" s="3"/>
      <c r="G64" s="3">
        <f>ExpenseDetails[[#This Row],[Prior Year]]-ExpenseDetails[[#This Row],[Actual]]</f>
        <v>0</v>
      </c>
      <c r="H64" s="2">
        <f>ExpenseDetails[[#This Row],[Prior Year Variance]]</f>
        <v>0</v>
      </c>
    </row>
    <row r="65" spans="1:8" x14ac:dyDescent="0.2">
      <c r="A65" t="s">
        <v>16</v>
      </c>
      <c r="B65" t="s">
        <v>13</v>
      </c>
      <c r="C65" s="3"/>
      <c r="D65" s="3"/>
      <c r="E65" s="3">
        <f>ExpenseDetails[[#This Row],[Estimated]]-ExpenseDetails[[#This Row],[Actual]]</f>
        <v>0</v>
      </c>
      <c r="F65" s="3"/>
      <c r="G65" s="3">
        <f>ExpenseDetails[[#This Row],[Prior Year]]-ExpenseDetails[[#This Row],[Actual]]</f>
        <v>0</v>
      </c>
      <c r="H65" s="2">
        <f>ExpenseDetails[[#This Row],[Prior Year Variance]]</f>
        <v>0</v>
      </c>
    </row>
    <row r="66" spans="1:8" x14ac:dyDescent="0.2">
      <c r="A66" t="s">
        <v>16</v>
      </c>
      <c r="B66" t="s">
        <v>11</v>
      </c>
      <c r="C66" s="3"/>
      <c r="D66" s="3"/>
      <c r="E66" s="3">
        <f>ExpenseDetails[[#This Row],[Estimated]]-ExpenseDetails[[#This Row],[Actual]]</f>
        <v>0</v>
      </c>
      <c r="F66" s="3"/>
      <c r="G66" s="3">
        <f>ExpenseDetails[[#This Row],[Prior Year]]-ExpenseDetails[[#This Row],[Actual]]</f>
        <v>0</v>
      </c>
      <c r="H66" s="2">
        <f>ExpenseDetails[[#This Row],[Prior Year Variance]]</f>
        <v>0</v>
      </c>
    </row>
    <row r="67" spans="1:8" x14ac:dyDescent="0.2">
      <c r="A67" t="s">
        <v>16</v>
      </c>
      <c r="B67" t="s">
        <v>27</v>
      </c>
      <c r="C67" s="3"/>
      <c r="D67" s="3"/>
      <c r="E67" s="3">
        <f>ExpenseDetails[[#This Row],[Estimated]]-ExpenseDetails[[#This Row],[Actual]]</f>
        <v>0</v>
      </c>
      <c r="F67" s="3"/>
      <c r="G67" s="3">
        <f>ExpenseDetails[[#This Row],[Prior Year]]-ExpenseDetails[[#This Row],[Actual]]</f>
        <v>0</v>
      </c>
      <c r="H67" s="2">
        <f>ExpenseDetails[[#This Row],[Prior Year Variance]]</f>
        <v>0</v>
      </c>
    </row>
    <row r="68" spans="1:8" x14ac:dyDescent="0.2">
      <c r="A68" t="s">
        <v>17</v>
      </c>
      <c r="B68" t="s">
        <v>25</v>
      </c>
      <c r="C68" s="3"/>
      <c r="D68" s="3"/>
      <c r="E68" s="3">
        <f>ExpenseDetails[[#This Row],[Estimated]]-ExpenseDetails[[#This Row],[Actual]]</f>
        <v>0</v>
      </c>
      <c r="F68" s="3"/>
      <c r="G68" s="3">
        <f>ExpenseDetails[[#This Row],[Prior Year]]-ExpenseDetails[[#This Row],[Actual]]</f>
        <v>0</v>
      </c>
      <c r="H68" s="2">
        <f>ExpenseDetails[[#This Row],[Prior Year Variance]]</f>
        <v>0</v>
      </c>
    </row>
    <row r="69" spans="1:8" x14ac:dyDescent="0.2">
      <c r="A69" t="s">
        <v>17</v>
      </c>
      <c r="B69" t="s">
        <v>25</v>
      </c>
      <c r="C69" s="3"/>
      <c r="D69" s="3"/>
      <c r="E69" s="3">
        <f>ExpenseDetails[[#This Row],[Estimated]]-ExpenseDetails[[#This Row],[Actual]]</f>
        <v>0</v>
      </c>
      <c r="F69" s="3"/>
      <c r="G69" s="3">
        <f>ExpenseDetails[[#This Row],[Prior Year]]-ExpenseDetails[[#This Row],[Actual]]</f>
        <v>0</v>
      </c>
      <c r="H69" s="2">
        <f>ExpenseDetails[[#This Row],[Prior Year Variance]]</f>
        <v>0</v>
      </c>
    </row>
    <row r="70" spans="1:8" x14ac:dyDescent="0.2">
      <c r="A70" t="s">
        <v>17</v>
      </c>
      <c r="B70" t="s">
        <v>26</v>
      </c>
      <c r="C70" s="3"/>
      <c r="D70" s="3"/>
      <c r="E70" s="3">
        <f>ExpenseDetails[[#This Row],[Estimated]]-ExpenseDetails[[#This Row],[Actual]]</f>
        <v>0</v>
      </c>
      <c r="F70" s="3"/>
      <c r="G70" s="3">
        <f>ExpenseDetails[[#This Row],[Prior Year]]-ExpenseDetails[[#This Row],[Actual]]</f>
        <v>0</v>
      </c>
      <c r="H70">
        <f>ExpenseDetails[[#This Row],[Prior Year Variance]]</f>
        <v>0</v>
      </c>
    </row>
    <row r="71" spans="1:8" x14ac:dyDescent="0.2">
      <c r="A71" t="s">
        <v>17</v>
      </c>
      <c r="B71" t="s">
        <v>28</v>
      </c>
      <c r="C71" s="3"/>
      <c r="D71" s="3"/>
      <c r="E71" s="3">
        <f>ExpenseDetails[[#This Row],[Estimated]]-ExpenseDetails[[#This Row],[Actual]]</f>
        <v>0</v>
      </c>
      <c r="F71" s="3"/>
      <c r="G71" s="3">
        <f>ExpenseDetails[[#This Row],[Prior Year]]-ExpenseDetails[[#This Row],[Actual]]</f>
        <v>0</v>
      </c>
      <c r="H71">
        <f>ExpenseDetails[[#This Row],[Prior Year Variance]]</f>
        <v>0</v>
      </c>
    </row>
    <row r="72" spans="1:8" x14ac:dyDescent="0.2">
      <c r="A72" t="s">
        <v>17</v>
      </c>
      <c r="B72" t="s">
        <v>14</v>
      </c>
      <c r="C72" s="3"/>
      <c r="D72" s="3"/>
      <c r="E72" s="3">
        <f>ExpenseDetails[[#This Row],[Estimated]]-ExpenseDetails[[#This Row],[Actual]]</f>
        <v>0</v>
      </c>
      <c r="F72" s="3"/>
      <c r="G72" s="3">
        <f>ExpenseDetails[[#This Row],[Prior Year]]-ExpenseDetails[[#This Row],[Actual]]</f>
        <v>0</v>
      </c>
      <c r="H72">
        <f>ExpenseDetails[[#This Row],[Prior Year Variance]]</f>
        <v>0</v>
      </c>
    </row>
    <row r="73" spans="1:8" x14ac:dyDescent="0.2">
      <c r="A73" t="s">
        <v>17</v>
      </c>
      <c r="B73" t="s">
        <v>31</v>
      </c>
      <c r="C73" s="3"/>
      <c r="D73" s="3"/>
      <c r="E73" s="3">
        <f>ExpenseDetails[[#This Row],[Estimated]]-ExpenseDetails[[#This Row],[Actual]]</f>
        <v>0</v>
      </c>
      <c r="F73" s="3"/>
      <c r="G73" s="3">
        <f>ExpenseDetails[[#This Row],[Prior Year]]-ExpenseDetails[[#This Row],[Actual]]</f>
        <v>0</v>
      </c>
      <c r="H73">
        <f>ExpenseDetails[[#This Row],[Prior Year Variance]]</f>
        <v>0</v>
      </c>
    </row>
    <row r="74" spans="1:8" x14ac:dyDescent="0.2">
      <c r="A74" t="s">
        <v>17</v>
      </c>
      <c r="B74" t="s">
        <v>29</v>
      </c>
      <c r="C74" s="3"/>
      <c r="D74" s="3"/>
      <c r="E74" s="3">
        <f>ExpenseDetails[[#This Row],[Estimated]]-ExpenseDetails[[#This Row],[Actual]]</f>
        <v>0</v>
      </c>
      <c r="F74" s="3"/>
      <c r="G74" s="3">
        <f>ExpenseDetails[[#This Row],[Prior Year]]-ExpenseDetails[[#This Row],[Actual]]</f>
        <v>0</v>
      </c>
      <c r="H74">
        <f>ExpenseDetails[[#This Row],[Prior Year Variance]]</f>
        <v>0</v>
      </c>
    </row>
    <row r="75" spans="1:8" x14ac:dyDescent="0.2">
      <c r="A75" t="s">
        <v>17</v>
      </c>
      <c r="B75" t="s">
        <v>12</v>
      </c>
      <c r="C75" s="3"/>
      <c r="D75" s="3"/>
      <c r="E75" s="3">
        <f>ExpenseDetails[[#This Row],[Estimated]]-ExpenseDetails[[#This Row],[Actual]]</f>
        <v>0</v>
      </c>
      <c r="F75" s="3"/>
      <c r="G75" s="3">
        <f>ExpenseDetails[[#This Row],[Prior Year]]-ExpenseDetails[[#This Row],[Actual]]</f>
        <v>0</v>
      </c>
      <c r="H75">
        <f>ExpenseDetails[[#This Row],[Prior Year Variance]]</f>
        <v>0</v>
      </c>
    </row>
    <row r="76" spans="1:8" x14ac:dyDescent="0.2">
      <c r="A76" t="s">
        <v>17</v>
      </c>
      <c r="B76" t="s">
        <v>13</v>
      </c>
      <c r="C76" s="3"/>
      <c r="D76" s="3"/>
      <c r="E76" s="3">
        <f>ExpenseDetails[[#This Row],[Estimated]]-ExpenseDetails[[#This Row],[Actual]]</f>
        <v>0</v>
      </c>
      <c r="F76" s="3"/>
      <c r="G76" s="3">
        <f>ExpenseDetails[[#This Row],[Prior Year]]-ExpenseDetails[[#This Row],[Actual]]</f>
        <v>0</v>
      </c>
      <c r="H76">
        <f>ExpenseDetails[[#This Row],[Prior Year Variance]]</f>
        <v>0</v>
      </c>
    </row>
    <row r="77" spans="1:8" x14ac:dyDescent="0.2">
      <c r="A77" t="s">
        <v>17</v>
      </c>
      <c r="B77" t="s">
        <v>11</v>
      </c>
      <c r="C77" s="3"/>
      <c r="D77" s="3"/>
      <c r="E77" s="3">
        <f>ExpenseDetails[[#This Row],[Estimated]]-ExpenseDetails[[#This Row],[Actual]]</f>
        <v>0</v>
      </c>
      <c r="F77" s="3"/>
      <c r="G77" s="3">
        <f>ExpenseDetails[[#This Row],[Prior Year]]-ExpenseDetails[[#This Row],[Actual]]</f>
        <v>0</v>
      </c>
      <c r="H77">
        <f>ExpenseDetails[[#This Row],[Prior Year Variance]]</f>
        <v>0</v>
      </c>
    </row>
    <row r="78" spans="1:8" x14ac:dyDescent="0.2">
      <c r="A78" t="s">
        <v>17</v>
      </c>
      <c r="B78" t="s">
        <v>27</v>
      </c>
      <c r="C78" s="3"/>
      <c r="D78" s="3"/>
      <c r="E78" s="3">
        <f>ExpenseDetails[[#This Row],[Estimated]]-ExpenseDetails[[#This Row],[Actual]]</f>
        <v>0</v>
      </c>
      <c r="F78" s="3"/>
      <c r="G78" s="3">
        <f>ExpenseDetails[[#This Row],[Prior Year]]-ExpenseDetails[[#This Row],[Actual]]</f>
        <v>0</v>
      </c>
      <c r="H78">
        <f>ExpenseDetails[[#This Row],[Prior Year Variance]]</f>
        <v>0</v>
      </c>
    </row>
    <row r="79" spans="1:8" x14ac:dyDescent="0.2">
      <c r="A79" s="5" t="s">
        <v>18</v>
      </c>
      <c r="B79" t="s">
        <v>25</v>
      </c>
      <c r="C79" s="3"/>
      <c r="D79" s="3"/>
      <c r="E79" s="3">
        <f>ExpenseDetails[[#This Row],[Estimated]]-ExpenseDetails[[#This Row],[Actual]]</f>
        <v>0</v>
      </c>
      <c r="F79" s="3"/>
      <c r="G79" s="3">
        <f>ExpenseDetails[[#This Row],[Prior Year]]-ExpenseDetails[[#This Row],[Actual]]</f>
        <v>0</v>
      </c>
      <c r="H79">
        <f>ExpenseDetails[[#This Row],[Prior Year Variance]]</f>
        <v>0</v>
      </c>
    </row>
    <row r="80" spans="1:8" x14ac:dyDescent="0.2">
      <c r="A80" s="5" t="s">
        <v>18</v>
      </c>
      <c r="B80" t="s">
        <v>25</v>
      </c>
      <c r="C80" s="3"/>
      <c r="D80" s="3"/>
      <c r="E80" s="3">
        <f>ExpenseDetails[[#This Row],[Estimated]]-ExpenseDetails[[#This Row],[Actual]]</f>
        <v>0</v>
      </c>
      <c r="F80" s="3"/>
      <c r="G80" s="3">
        <f>ExpenseDetails[[#This Row],[Prior Year]]-ExpenseDetails[[#This Row],[Actual]]</f>
        <v>0</v>
      </c>
      <c r="H80">
        <f>ExpenseDetails[[#This Row],[Prior Year Variance]]</f>
        <v>0</v>
      </c>
    </row>
    <row r="81" spans="1:8" x14ac:dyDescent="0.2">
      <c r="A81" s="5" t="s">
        <v>18</v>
      </c>
      <c r="B81" t="s">
        <v>26</v>
      </c>
      <c r="C81" s="3"/>
      <c r="D81" s="3"/>
      <c r="E81" s="3">
        <f>ExpenseDetails[[#This Row],[Estimated]]-ExpenseDetails[[#This Row],[Actual]]</f>
        <v>0</v>
      </c>
      <c r="F81" s="3"/>
      <c r="G81" s="3">
        <f>ExpenseDetails[[#This Row],[Prior Year]]-ExpenseDetails[[#This Row],[Actual]]</f>
        <v>0</v>
      </c>
      <c r="H81">
        <f>ExpenseDetails[[#This Row],[Prior Year Variance]]</f>
        <v>0</v>
      </c>
    </row>
    <row r="82" spans="1:8" x14ac:dyDescent="0.2">
      <c r="A82" s="5" t="s">
        <v>18</v>
      </c>
      <c r="B82" t="s">
        <v>28</v>
      </c>
      <c r="C82" s="3"/>
      <c r="D82" s="3"/>
      <c r="E82" s="3">
        <f>ExpenseDetails[[#This Row],[Estimated]]-ExpenseDetails[[#This Row],[Actual]]</f>
        <v>0</v>
      </c>
      <c r="F82" s="3"/>
      <c r="G82" s="3">
        <f>ExpenseDetails[[#This Row],[Prior Year]]-ExpenseDetails[[#This Row],[Actual]]</f>
        <v>0</v>
      </c>
      <c r="H82">
        <f>ExpenseDetails[[#This Row],[Prior Year Variance]]</f>
        <v>0</v>
      </c>
    </row>
    <row r="83" spans="1:8" x14ac:dyDescent="0.2">
      <c r="A83" s="5" t="s">
        <v>18</v>
      </c>
      <c r="B83" t="s">
        <v>14</v>
      </c>
      <c r="C83" s="3"/>
      <c r="D83" s="3"/>
      <c r="E83" s="3">
        <f>ExpenseDetails[[#This Row],[Estimated]]-ExpenseDetails[[#This Row],[Actual]]</f>
        <v>0</v>
      </c>
      <c r="F83" s="3"/>
      <c r="G83" s="3">
        <f>ExpenseDetails[[#This Row],[Prior Year]]-ExpenseDetails[[#This Row],[Actual]]</f>
        <v>0</v>
      </c>
      <c r="H83">
        <f>ExpenseDetails[[#This Row],[Prior Year Variance]]</f>
        <v>0</v>
      </c>
    </row>
    <row r="84" spans="1:8" x14ac:dyDescent="0.2">
      <c r="A84" s="5" t="s">
        <v>18</v>
      </c>
      <c r="B84" t="s">
        <v>31</v>
      </c>
      <c r="C84" s="3"/>
      <c r="D84" s="3"/>
      <c r="E84" s="3">
        <f>ExpenseDetails[[#This Row],[Estimated]]-ExpenseDetails[[#This Row],[Actual]]</f>
        <v>0</v>
      </c>
      <c r="F84" s="3"/>
      <c r="G84" s="3">
        <f>ExpenseDetails[[#This Row],[Prior Year]]-ExpenseDetails[[#This Row],[Actual]]</f>
        <v>0</v>
      </c>
      <c r="H84">
        <f>ExpenseDetails[[#This Row],[Prior Year Variance]]</f>
        <v>0</v>
      </c>
    </row>
    <row r="85" spans="1:8" x14ac:dyDescent="0.2">
      <c r="A85" s="5" t="s">
        <v>18</v>
      </c>
      <c r="B85" t="s">
        <v>29</v>
      </c>
      <c r="C85" s="3"/>
      <c r="D85" s="3"/>
      <c r="E85" s="3">
        <f>ExpenseDetails[[#This Row],[Estimated]]-ExpenseDetails[[#This Row],[Actual]]</f>
        <v>0</v>
      </c>
      <c r="F85" s="3"/>
      <c r="G85" s="3">
        <f>ExpenseDetails[[#This Row],[Prior Year]]-ExpenseDetails[[#This Row],[Actual]]</f>
        <v>0</v>
      </c>
      <c r="H85">
        <f>ExpenseDetails[[#This Row],[Prior Year Variance]]</f>
        <v>0</v>
      </c>
    </row>
    <row r="86" spans="1:8" x14ac:dyDescent="0.2">
      <c r="A86" s="5" t="s">
        <v>18</v>
      </c>
      <c r="B86" t="s">
        <v>12</v>
      </c>
      <c r="C86" s="3"/>
      <c r="D86" s="3"/>
      <c r="E86" s="3">
        <f>ExpenseDetails[[#This Row],[Estimated]]-ExpenseDetails[[#This Row],[Actual]]</f>
        <v>0</v>
      </c>
      <c r="F86" s="3"/>
      <c r="G86" s="3">
        <f>ExpenseDetails[[#This Row],[Prior Year]]-ExpenseDetails[[#This Row],[Actual]]</f>
        <v>0</v>
      </c>
      <c r="H86">
        <f>ExpenseDetails[[#This Row],[Prior Year Variance]]</f>
        <v>0</v>
      </c>
    </row>
    <row r="87" spans="1:8" x14ac:dyDescent="0.2">
      <c r="A87" s="5" t="s">
        <v>18</v>
      </c>
      <c r="B87" t="s">
        <v>13</v>
      </c>
      <c r="C87" s="3"/>
      <c r="D87" s="3"/>
      <c r="E87" s="3">
        <f>ExpenseDetails[[#This Row],[Estimated]]-ExpenseDetails[[#This Row],[Actual]]</f>
        <v>0</v>
      </c>
      <c r="F87" s="3"/>
      <c r="G87" s="3">
        <f>ExpenseDetails[[#This Row],[Prior Year]]-ExpenseDetails[[#This Row],[Actual]]</f>
        <v>0</v>
      </c>
      <c r="H87">
        <f>ExpenseDetails[[#This Row],[Prior Year Variance]]</f>
        <v>0</v>
      </c>
    </row>
    <row r="88" spans="1:8" x14ac:dyDescent="0.2">
      <c r="A88" s="5" t="s">
        <v>18</v>
      </c>
      <c r="B88" t="s">
        <v>11</v>
      </c>
      <c r="C88" s="3"/>
      <c r="D88" s="3"/>
      <c r="E88" s="3">
        <f>ExpenseDetails[[#This Row],[Estimated]]-ExpenseDetails[[#This Row],[Actual]]</f>
        <v>0</v>
      </c>
      <c r="F88" s="3"/>
      <c r="G88" s="3">
        <f>ExpenseDetails[[#This Row],[Prior Year]]-ExpenseDetails[[#This Row],[Actual]]</f>
        <v>0</v>
      </c>
      <c r="H88">
        <f>ExpenseDetails[[#This Row],[Prior Year Variance]]</f>
        <v>0</v>
      </c>
    </row>
    <row r="89" spans="1:8" x14ac:dyDescent="0.2">
      <c r="A89" s="4" t="s">
        <v>18</v>
      </c>
      <c r="B89" t="s">
        <v>27</v>
      </c>
      <c r="C89" s="3"/>
      <c r="D89" s="3"/>
      <c r="E89" s="3">
        <f>ExpenseDetails[[#This Row],[Estimated]]-ExpenseDetails[[#This Row],[Actual]]</f>
        <v>0</v>
      </c>
      <c r="F89" s="3"/>
      <c r="G89" s="3">
        <f>ExpenseDetails[[#This Row],[Prior Year]]-ExpenseDetails[[#This Row],[Actual]]</f>
        <v>0</v>
      </c>
      <c r="H89">
        <f>ExpenseDetails[[#This Row],[Prior Year Variance]]</f>
        <v>0</v>
      </c>
    </row>
    <row r="90" spans="1:8" x14ac:dyDescent="0.2">
      <c r="A90" s="5" t="s">
        <v>19</v>
      </c>
      <c r="B90" t="s">
        <v>25</v>
      </c>
      <c r="C90" s="3"/>
      <c r="D90" s="3"/>
      <c r="E90" s="3">
        <f>ExpenseDetails[[#This Row],[Estimated]]-ExpenseDetails[[#This Row],[Actual]]</f>
        <v>0</v>
      </c>
      <c r="F90" s="3"/>
      <c r="G90" s="3">
        <f>ExpenseDetails[[#This Row],[Prior Year]]-ExpenseDetails[[#This Row],[Actual]]</f>
        <v>0</v>
      </c>
      <c r="H90">
        <f>ExpenseDetails[[#This Row],[Prior Year Variance]]</f>
        <v>0</v>
      </c>
    </row>
    <row r="91" spans="1:8" x14ac:dyDescent="0.2">
      <c r="A91" s="5" t="s">
        <v>19</v>
      </c>
      <c r="B91" t="s">
        <v>25</v>
      </c>
      <c r="C91" s="3"/>
      <c r="D91" s="3"/>
      <c r="E91" s="3">
        <f>ExpenseDetails[[#This Row],[Estimated]]-ExpenseDetails[[#This Row],[Actual]]</f>
        <v>0</v>
      </c>
      <c r="F91" s="3"/>
      <c r="G91" s="3">
        <f>ExpenseDetails[[#This Row],[Prior Year]]-ExpenseDetails[[#This Row],[Actual]]</f>
        <v>0</v>
      </c>
      <c r="H91">
        <f>ExpenseDetails[[#This Row],[Prior Year Variance]]</f>
        <v>0</v>
      </c>
    </row>
    <row r="92" spans="1:8" x14ac:dyDescent="0.2">
      <c r="A92" s="5" t="s">
        <v>19</v>
      </c>
      <c r="B92" t="s">
        <v>26</v>
      </c>
      <c r="C92" s="3"/>
      <c r="D92" s="3"/>
      <c r="E92" s="3">
        <f>ExpenseDetails[[#This Row],[Estimated]]-ExpenseDetails[[#This Row],[Actual]]</f>
        <v>0</v>
      </c>
      <c r="F92" s="3"/>
      <c r="G92" s="3">
        <f>ExpenseDetails[[#This Row],[Prior Year]]-ExpenseDetails[[#This Row],[Actual]]</f>
        <v>0</v>
      </c>
      <c r="H92">
        <f>ExpenseDetails[[#This Row],[Prior Year Variance]]</f>
        <v>0</v>
      </c>
    </row>
    <row r="93" spans="1:8" x14ac:dyDescent="0.2">
      <c r="A93" s="5" t="s">
        <v>19</v>
      </c>
      <c r="B93" t="s">
        <v>28</v>
      </c>
      <c r="C93" s="3"/>
      <c r="D93" s="3"/>
      <c r="E93" s="3">
        <f>ExpenseDetails[[#This Row],[Estimated]]-ExpenseDetails[[#This Row],[Actual]]</f>
        <v>0</v>
      </c>
      <c r="F93" s="3"/>
      <c r="G93" s="3">
        <f>ExpenseDetails[[#This Row],[Prior Year]]-ExpenseDetails[[#This Row],[Actual]]</f>
        <v>0</v>
      </c>
      <c r="H93">
        <f>ExpenseDetails[[#This Row],[Prior Year Variance]]</f>
        <v>0</v>
      </c>
    </row>
    <row r="94" spans="1:8" x14ac:dyDescent="0.2">
      <c r="A94" s="5" t="s">
        <v>19</v>
      </c>
      <c r="B94" t="s">
        <v>14</v>
      </c>
      <c r="C94" s="3"/>
      <c r="D94" s="3"/>
      <c r="E94" s="3">
        <f>ExpenseDetails[[#This Row],[Estimated]]-ExpenseDetails[[#This Row],[Actual]]</f>
        <v>0</v>
      </c>
      <c r="F94" s="3"/>
      <c r="G94" s="3">
        <f>ExpenseDetails[[#This Row],[Prior Year]]-ExpenseDetails[[#This Row],[Actual]]</f>
        <v>0</v>
      </c>
      <c r="H94">
        <f>ExpenseDetails[[#This Row],[Prior Year Variance]]</f>
        <v>0</v>
      </c>
    </row>
    <row r="95" spans="1:8" x14ac:dyDescent="0.2">
      <c r="A95" s="5" t="s">
        <v>19</v>
      </c>
      <c r="B95" t="s">
        <v>31</v>
      </c>
      <c r="C95" s="3"/>
      <c r="D95" s="3"/>
      <c r="E95" s="3">
        <f>ExpenseDetails[[#This Row],[Estimated]]-ExpenseDetails[[#This Row],[Actual]]</f>
        <v>0</v>
      </c>
      <c r="F95" s="3"/>
      <c r="G95" s="3">
        <f>ExpenseDetails[[#This Row],[Prior Year]]-ExpenseDetails[[#This Row],[Actual]]</f>
        <v>0</v>
      </c>
      <c r="H95">
        <f>ExpenseDetails[[#This Row],[Prior Year Variance]]</f>
        <v>0</v>
      </c>
    </row>
    <row r="96" spans="1:8" x14ac:dyDescent="0.2">
      <c r="A96" s="5" t="s">
        <v>19</v>
      </c>
      <c r="B96" t="s">
        <v>29</v>
      </c>
      <c r="C96" s="3"/>
      <c r="D96" s="3"/>
      <c r="E96" s="3">
        <f>ExpenseDetails[[#This Row],[Estimated]]-ExpenseDetails[[#This Row],[Actual]]</f>
        <v>0</v>
      </c>
      <c r="F96" s="3"/>
      <c r="G96" s="3">
        <f>ExpenseDetails[[#This Row],[Prior Year]]-ExpenseDetails[[#This Row],[Actual]]</f>
        <v>0</v>
      </c>
      <c r="H96">
        <f>ExpenseDetails[[#This Row],[Prior Year Variance]]</f>
        <v>0</v>
      </c>
    </row>
    <row r="97" spans="1:8" x14ac:dyDescent="0.2">
      <c r="A97" s="5" t="s">
        <v>19</v>
      </c>
      <c r="B97" t="s">
        <v>12</v>
      </c>
      <c r="C97" s="3"/>
      <c r="D97" s="3"/>
      <c r="E97" s="3">
        <f>ExpenseDetails[[#This Row],[Estimated]]-ExpenseDetails[[#This Row],[Actual]]</f>
        <v>0</v>
      </c>
      <c r="F97" s="3"/>
      <c r="G97" s="3">
        <f>ExpenseDetails[[#This Row],[Prior Year]]-ExpenseDetails[[#This Row],[Actual]]</f>
        <v>0</v>
      </c>
      <c r="H97">
        <f>ExpenseDetails[[#This Row],[Prior Year Variance]]</f>
        <v>0</v>
      </c>
    </row>
    <row r="98" spans="1:8" x14ac:dyDescent="0.2">
      <c r="A98" s="5" t="s">
        <v>19</v>
      </c>
      <c r="B98" t="s">
        <v>13</v>
      </c>
      <c r="C98" s="3"/>
      <c r="D98" s="3"/>
      <c r="E98" s="3">
        <f>ExpenseDetails[[#This Row],[Estimated]]-ExpenseDetails[[#This Row],[Actual]]</f>
        <v>0</v>
      </c>
      <c r="F98" s="3"/>
      <c r="G98" s="3">
        <f>ExpenseDetails[[#This Row],[Prior Year]]-ExpenseDetails[[#This Row],[Actual]]</f>
        <v>0</v>
      </c>
      <c r="H98">
        <f>ExpenseDetails[[#This Row],[Prior Year Variance]]</f>
        <v>0</v>
      </c>
    </row>
    <row r="99" spans="1:8" x14ac:dyDescent="0.2">
      <c r="A99" s="5" t="s">
        <v>19</v>
      </c>
      <c r="B99" t="s">
        <v>11</v>
      </c>
      <c r="C99" s="3"/>
      <c r="D99" s="3"/>
      <c r="E99" s="3">
        <f>ExpenseDetails[[#This Row],[Estimated]]-ExpenseDetails[[#This Row],[Actual]]</f>
        <v>0</v>
      </c>
      <c r="F99" s="3"/>
      <c r="G99" s="3">
        <f>ExpenseDetails[[#This Row],[Prior Year]]-ExpenseDetails[[#This Row],[Actual]]</f>
        <v>0</v>
      </c>
      <c r="H99">
        <f>ExpenseDetails[[#This Row],[Prior Year Variance]]</f>
        <v>0</v>
      </c>
    </row>
    <row r="100" spans="1:8" x14ac:dyDescent="0.2">
      <c r="A100" s="4" t="s">
        <v>19</v>
      </c>
      <c r="B100" t="s">
        <v>27</v>
      </c>
      <c r="C100" s="3"/>
      <c r="D100" s="3"/>
      <c r="E100" s="3">
        <f>ExpenseDetails[[#This Row],[Estimated]]-ExpenseDetails[[#This Row],[Actual]]</f>
        <v>0</v>
      </c>
      <c r="F100" s="3"/>
      <c r="G100" s="3">
        <f>ExpenseDetails[[#This Row],[Prior Year]]-ExpenseDetails[[#This Row],[Actual]]</f>
        <v>0</v>
      </c>
      <c r="H100">
        <f>ExpenseDetails[[#This Row],[Prior Year Variance]]</f>
        <v>0</v>
      </c>
    </row>
    <row r="101" spans="1:8" x14ac:dyDescent="0.2">
      <c r="A101" s="5" t="s">
        <v>20</v>
      </c>
      <c r="B101" t="s">
        <v>25</v>
      </c>
      <c r="C101" s="3"/>
      <c r="D101" s="3"/>
      <c r="E101" s="3">
        <f>ExpenseDetails[[#This Row],[Estimated]]-ExpenseDetails[[#This Row],[Actual]]</f>
        <v>0</v>
      </c>
      <c r="F101" s="3"/>
      <c r="G101" s="3">
        <f>ExpenseDetails[[#This Row],[Prior Year]]-ExpenseDetails[[#This Row],[Actual]]</f>
        <v>0</v>
      </c>
      <c r="H101">
        <f>ExpenseDetails[[#This Row],[Prior Year Variance]]</f>
        <v>0</v>
      </c>
    </row>
    <row r="102" spans="1:8" x14ac:dyDescent="0.2">
      <c r="A102" s="5" t="s">
        <v>20</v>
      </c>
      <c r="B102" t="s">
        <v>25</v>
      </c>
      <c r="C102" s="3"/>
      <c r="D102" s="3"/>
      <c r="E102" s="3">
        <f>ExpenseDetails[[#This Row],[Estimated]]-ExpenseDetails[[#This Row],[Actual]]</f>
        <v>0</v>
      </c>
      <c r="F102" s="3"/>
      <c r="G102" s="3">
        <f>ExpenseDetails[[#This Row],[Prior Year]]-ExpenseDetails[[#This Row],[Actual]]</f>
        <v>0</v>
      </c>
      <c r="H102">
        <f>ExpenseDetails[[#This Row],[Prior Year Variance]]</f>
        <v>0</v>
      </c>
    </row>
    <row r="103" spans="1:8" x14ac:dyDescent="0.2">
      <c r="A103" s="5" t="s">
        <v>20</v>
      </c>
      <c r="B103" t="s">
        <v>26</v>
      </c>
      <c r="C103" s="3"/>
      <c r="D103" s="3"/>
      <c r="E103" s="3">
        <f>ExpenseDetails[[#This Row],[Estimated]]-ExpenseDetails[[#This Row],[Actual]]</f>
        <v>0</v>
      </c>
      <c r="F103" s="3"/>
      <c r="G103" s="3">
        <f>ExpenseDetails[[#This Row],[Prior Year]]-ExpenseDetails[[#This Row],[Actual]]</f>
        <v>0</v>
      </c>
      <c r="H103">
        <f>ExpenseDetails[[#This Row],[Prior Year Variance]]</f>
        <v>0</v>
      </c>
    </row>
    <row r="104" spans="1:8" x14ac:dyDescent="0.2">
      <c r="A104" s="5" t="s">
        <v>20</v>
      </c>
      <c r="B104" t="s">
        <v>28</v>
      </c>
      <c r="C104" s="3"/>
      <c r="D104" s="3"/>
      <c r="E104" s="3">
        <f>ExpenseDetails[[#This Row],[Estimated]]-ExpenseDetails[[#This Row],[Actual]]</f>
        <v>0</v>
      </c>
      <c r="F104" s="3"/>
      <c r="G104" s="3">
        <f>ExpenseDetails[[#This Row],[Prior Year]]-ExpenseDetails[[#This Row],[Actual]]</f>
        <v>0</v>
      </c>
      <c r="H104">
        <f>ExpenseDetails[[#This Row],[Prior Year Variance]]</f>
        <v>0</v>
      </c>
    </row>
    <row r="105" spans="1:8" x14ac:dyDescent="0.2">
      <c r="A105" s="5" t="s">
        <v>20</v>
      </c>
      <c r="B105" t="s">
        <v>14</v>
      </c>
      <c r="C105" s="3"/>
      <c r="D105" s="3"/>
      <c r="E105" s="3">
        <f>ExpenseDetails[[#This Row],[Estimated]]-ExpenseDetails[[#This Row],[Actual]]</f>
        <v>0</v>
      </c>
      <c r="F105" s="3"/>
      <c r="G105" s="3">
        <f>ExpenseDetails[[#This Row],[Prior Year]]-ExpenseDetails[[#This Row],[Actual]]</f>
        <v>0</v>
      </c>
      <c r="H105">
        <f>ExpenseDetails[[#This Row],[Prior Year Variance]]</f>
        <v>0</v>
      </c>
    </row>
    <row r="106" spans="1:8" x14ac:dyDescent="0.2">
      <c r="A106" s="5" t="s">
        <v>20</v>
      </c>
      <c r="B106" t="s">
        <v>31</v>
      </c>
      <c r="C106" s="3"/>
      <c r="D106" s="3"/>
      <c r="E106" s="3">
        <f>ExpenseDetails[[#This Row],[Estimated]]-ExpenseDetails[[#This Row],[Actual]]</f>
        <v>0</v>
      </c>
      <c r="F106" s="3"/>
      <c r="G106" s="3">
        <f>ExpenseDetails[[#This Row],[Prior Year]]-ExpenseDetails[[#This Row],[Actual]]</f>
        <v>0</v>
      </c>
      <c r="H106">
        <f>ExpenseDetails[[#This Row],[Prior Year Variance]]</f>
        <v>0</v>
      </c>
    </row>
    <row r="107" spans="1:8" x14ac:dyDescent="0.2">
      <c r="A107" s="5" t="s">
        <v>20</v>
      </c>
      <c r="B107" t="s">
        <v>29</v>
      </c>
      <c r="C107" s="3"/>
      <c r="D107" s="3"/>
      <c r="E107" s="3">
        <f>ExpenseDetails[[#This Row],[Estimated]]-ExpenseDetails[[#This Row],[Actual]]</f>
        <v>0</v>
      </c>
      <c r="F107" s="3"/>
      <c r="G107" s="3">
        <f>ExpenseDetails[[#This Row],[Prior Year]]-ExpenseDetails[[#This Row],[Actual]]</f>
        <v>0</v>
      </c>
      <c r="H107">
        <f>ExpenseDetails[[#This Row],[Prior Year Variance]]</f>
        <v>0</v>
      </c>
    </row>
    <row r="108" spans="1:8" x14ac:dyDescent="0.2">
      <c r="A108" s="5" t="s">
        <v>20</v>
      </c>
      <c r="B108" t="s">
        <v>12</v>
      </c>
      <c r="C108" s="3"/>
      <c r="D108" s="3"/>
      <c r="E108" s="3">
        <f>ExpenseDetails[[#This Row],[Estimated]]-ExpenseDetails[[#This Row],[Actual]]</f>
        <v>0</v>
      </c>
      <c r="F108" s="3"/>
      <c r="G108" s="3">
        <f>ExpenseDetails[[#This Row],[Prior Year]]-ExpenseDetails[[#This Row],[Actual]]</f>
        <v>0</v>
      </c>
      <c r="H108">
        <f>ExpenseDetails[[#This Row],[Prior Year Variance]]</f>
        <v>0</v>
      </c>
    </row>
    <row r="109" spans="1:8" x14ac:dyDescent="0.2">
      <c r="A109" s="5" t="s">
        <v>20</v>
      </c>
      <c r="B109" t="s">
        <v>13</v>
      </c>
      <c r="C109" s="3"/>
      <c r="D109" s="3"/>
      <c r="E109" s="3">
        <f>ExpenseDetails[[#This Row],[Estimated]]-ExpenseDetails[[#This Row],[Actual]]</f>
        <v>0</v>
      </c>
      <c r="F109" s="3"/>
      <c r="G109" s="3">
        <f>ExpenseDetails[[#This Row],[Prior Year]]-ExpenseDetails[[#This Row],[Actual]]</f>
        <v>0</v>
      </c>
      <c r="H109">
        <f>ExpenseDetails[[#This Row],[Prior Year Variance]]</f>
        <v>0</v>
      </c>
    </row>
    <row r="110" spans="1:8" x14ac:dyDescent="0.2">
      <c r="A110" s="5" t="s">
        <v>20</v>
      </c>
      <c r="B110" t="s">
        <v>11</v>
      </c>
      <c r="C110" s="3"/>
      <c r="D110" s="3"/>
      <c r="E110" s="3">
        <f>ExpenseDetails[[#This Row],[Estimated]]-ExpenseDetails[[#This Row],[Actual]]</f>
        <v>0</v>
      </c>
      <c r="F110" s="3"/>
      <c r="G110" s="3">
        <f>ExpenseDetails[[#This Row],[Prior Year]]-ExpenseDetails[[#This Row],[Actual]]</f>
        <v>0</v>
      </c>
      <c r="H110">
        <f>ExpenseDetails[[#This Row],[Prior Year Variance]]</f>
        <v>0</v>
      </c>
    </row>
    <row r="111" spans="1:8" x14ac:dyDescent="0.2">
      <c r="A111" s="4" t="s">
        <v>20</v>
      </c>
      <c r="B111" t="s">
        <v>27</v>
      </c>
      <c r="C111" s="3"/>
      <c r="D111" s="3"/>
      <c r="E111" s="3">
        <f>ExpenseDetails[[#This Row],[Estimated]]-ExpenseDetails[[#This Row],[Actual]]</f>
        <v>0</v>
      </c>
      <c r="F111" s="3"/>
      <c r="G111" s="3">
        <f>ExpenseDetails[[#This Row],[Prior Year]]-ExpenseDetails[[#This Row],[Actual]]</f>
        <v>0</v>
      </c>
      <c r="H111">
        <f>ExpenseDetails[[#This Row],[Prior Year Variance]]</f>
        <v>0</v>
      </c>
    </row>
    <row r="112" spans="1:8" x14ac:dyDescent="0.2">
      <c r="A112" s="5" t="s">
        <v>21</v>
      </c>
      <c r="B112" t="s">
        <v>25</v>
      </c>
      <c r="C112" s="3"/>
      <c r="D112" s="3"/>
      <c r="E112" s="3">
        <f>ExpenseDetails[[#This Row],[Estimated]]-ExpenseDetails[[#This Row],[Actual]]</f>
        <v>0</v>
      </c>
      <c r="F112" s="3"/>
      <c r="G112" s="3">
        <f>ExpenseDetails[[#This Row],[Prior Year]]-ExpenseDetails[[#This Row],[Actual]]</f>
        <v>0</v>
      </c>
      <c r="H112">
        <f>ExpenseDetails[[#This Row],[Prior Year Variance]]</f>
        <v>0</v>
      </c>
    </row>
    <row r="113" spans="1:8" x14ac:dyDescent="0.2">
      <c r="A113" s="5" t="s">
        <v>21</v>
      </c>
      <c r="B113" t="s">
        <v>25</v>
      </c>
      <c r="C113" s="3"/>
      <c r="D113" s="3"/>
      <c r="E113" s="3">
        <f>ExpenseDetails[[#This Row],[Estimated]]-ExpenseDetails[[#This Row],[Actual]]</f>
        <v>0</v>
      </c>
      <c r="F113" s="3"/>
      <c r="G113" s="3">
        <f>ExpenseDetails[[#This Row],[Prior Year]]-ExpenseDetails[[#This Row],[Actual]]</f>
        <v>0</v>
      </c>
      <c r="H113">
        <f>ExpenseDetails[[#This Row],[Prior Year Variance]]</f>
        <v>0</v>
      </c>
    </row>
    <row r="114" spans="1:8" x14ac:dyDescent="0.2">
      <c r="A114" s="5" t="s">
        <v>21</v>
      </c>
      <c r="B114" t="s">
        <v>26</v>
      </c>
      <c r="C114" s="3"/>
      <c r="D114" s="3"/>
      <c r="E114" s="3">
        <f>ExpenseDetails[[#This Row],[Estimated]]-ExpenseDetails[[#This Row],[Actual]]</f>
        <v>0</v>
      </c>
      <c r="F114" s="3"/>
      <c r="G114" s="3">
        <f>ExpenseDetails[[#This Row],[Prior Year]]-ExpenseDetails[[#This Row],[Actual]]</f>
        <v>0</v>
      </c>
      <c r="H114">
        <f>ExpenseDetails[[#This Row],[Prior Year Variance]]</f>
        <v>0</v>
      </c>
    </row>
    <row r="115" spans="1:8" x14ac:dyDescent="0.2">
      <c r="A115" s="5" t="s">
        <v>21</v>
      </c>
      <c r="B115" t="s">
        <v>28</v>
      </c>
      <c r="C115" s="3"/>
      <c r="D115" s="3"/>
      <c r="E115" s="3">
        <f>ExpenseDetails[[#This Row],[Estimated]]-ExpenseDetails[[#This Row],[Actual]]</f>
        <v>0</v>
      </c>
      <c r="F115" s="3"/>
      <c r="G115" s="3">
        <f>ExpenseDetails[[#This Row],[Prior Year]]-ExpenseDetails[[#This Row],[Actual]]</f>
        <v>0</v>
      </c>
      <c r="H115">
        <f>ExpenseDetails[[#This Row],[Prior Year Variance]]</f>
        <v>0</v>
      </c>
    </row>
    <row r="116" spans="1:8" x14ac:dyDescent="0.2">
      <c r="A116" s="5" t="s">
        <v>21</v>
      </c>
      <c r="B116" t="s">
        <v>14</v>
      </c>
      <c r="C116" s="3"/>
      <c r="D116" s="3"/>
      <c r="E116" s="3">
        <f>ExpenseDetails[[#This Row],[Estimated]]-ExpenseDetails[[#This Row],[Actual]]</f>
        <v>0</v>
      </c>
      <c r="F116" s="3"/>
      <c r="G116" s="3">
        <f>ExpenseDetails[[#This Row],[Prior Year]]-ExpenseDetails[[#This Row],[Actual]]</f>
        <v>0</v>
      </c>
      <c r="H116">
        <f>ExpenseDetails[[#This Row],[Prior Year Variance]]</f>
        <v>0</v>
      </c>
    </row>
    <row r="117" spans="1:8" x14ac:dyDescent="0.2">
      <c r="A117" s="5" t="s">
        <v>21</v>
      </c>
      <c r="B117" t="s">
        <v>31</v>
      </c>
      <c r="C117" s="3"/>
      <c r="D117" s="3"/>
      <c r="E117" s="3">
        <f>ExpenseDetails[[#This Row],[Estimated]]-ExpenseDetails[[#This Row],[Actual]]</f>
        <v>0</v>
      </c>
      <c r="F117" s="3"/>
      <c r="G117" s="3">
        <f>ExpenseDetails[[#This Row],[Prior Year]]-ExpenseDetails[[#This Row],[Actual]]</f>
        <v>0</v>
      </c>
      <c r="H117">
        <f>ExpenseDetails[[#This Row],[Prior Year Variance]]</f>
        <v>0</v>
      </c>
    </row>
    <row r="118" spans="1:8" x14ac:dyDescent="0.2">
      <c r="A118" s="5" t="s">
        <v>21</v>
      </c>
      <c r="B118" t="s">
        <v>29</v>
      </c>
      <c r="C118" s="3"/>
      <c r="D118" s="3"/>
      <c r="E118" s="3">
        <f>ExpenseDetails[[#This Row],[Estimated]]-ExpenseDetails[[#This Row],[Actual]]</f>
        <v>0</v>
      </c>
      <c r="F118" s="3"/>
      <c r="G118" s="3">
        <f>ExpenseDetails[[#This Row],[Prior Year]]-ExpenseDetails[[#This Row],[Actual]]</f>
        <v>0</v>
      </c>
      <c r="H118">
        <f>ExpenseDetails[[#This Row],[Prior Year Variance]]</f>
        <v>0</v>
      </c>
    </row>
    <row r="119" spans="1:8" x14ac:dyDescent="0.2">
      <c r="A119" s="5" t="s">
        <v>21</v>
      </c>
      <c r="B119" t="s">
        <v>12</v>
      </c>
      <c r="C119" s="3"/>
      <c r="D119" s="3"/>
      <c r="E119" s="3">
        <f>ExpenseDetails[[#This Row],[Estimated]]-ExpenseDetails[[#This Row],[Actual]]</f>
        <v>0</v>
      </c>
      <c r="F119" s="3"/>
      <c r="G119" s="3">
        <f>ExpenseDetails[[#This Row],[Prior Year]]-ExpenseDetails[[#This Row],[Actual]]</f>
        <v>0</v>
      </c>
      <c r="H119">
        <f>ExpenseDetails[[#This Row],[Prior Year Variance]]</f>
        <v>0</v>
      </c>
    </row>
    <row r="120" spans="1:8" x14ac:dyDescent="0.2">
      <c r="A120" s="5" t="s">
        <v>21</v>
      </c>
      <c r="B120" t="s">
        <v>13</v>
      </c>
      <c r="C120" s="3"/>
      <c r="D120" s="3"/>
      <c r="E120" s="3">
        <f>ExpenseDetails[[#This Row],[Estimated]]-ExpenseDetails[[#This Row],[Actual]]</f>
        <v>0</v>
      </c>
      <c r="F120" s="3"/>
      <c r="G120" s="3">
        <f>ExpenseDetails[[#This Row],[Prior Year]]-ExpenseDetails[[#This Row],[Actual]]</f>
        <v>0</v>
      </c>
      <c r="H120">
        <f>ExpenseDetails[[#This Row],[Prior Year Variance]]</f>
        <v>0</v>
      </c>
    </row>
    <row r="121" spans="1:8" x14ac:dyDescent="0.2">
      <c r="A121" s="5" t="s">
        <v>21</v>
      </c>
      <c r="B121" t="s">
        <v>11</v>
      </c>
      <c r="C121" s="3"/>
      <c r="D121" s="3"/>
      <c r="E121" s="3">
        <f>ExpenseDetails[[#This Row],[Estimated]]-ExpenseDetails[[#This Row],[Actual]]</f>
        <v>0</v>
      </c>
      <c r="F121" s="3"/>
      <c r="G121" s="3">
        <f>ExpenseDetails[[#This Row],[Prior Year]]-ExpenseDetails[[#This Row],[Actual]]</f>
        <v>0</v>
      </c>
      <c r="H121">
        <f>ExpenseDetails[[#This Row],[Prior Year Variance]]</f>
        <v>0</v>
      </c>
    </row>
    <row r="122" spans="1:8" x14ac:dyDescent="0.2">
      <c r="A122" s="4" t="s">
        <v>21</v>
      </c>
      <c r="B122" t="s">
        <v>27</v>
      </c>
      <c r="C122" s="3"/>
      <c r="D122" s="3"/>
      <c r="E122" s="3">
        <f>ExpenseDetails[[#This Row],[Estimated]]-ExpenseDetails[[#This Row],[Actual]]</f>
        <v>0</v>
      </c>
      <c r="F122" s="3"/>
      <c r="G122" s="3">
        <f>ExpenseDetails[[#This Row],[Prior Year]]-ExpenseDetails[[#This Row],[Actual]]</f>
        <v>0</v>
      </c>
      <c r="H122">
        <f>ExpenseDetails[[#This Row],[Prior Year Variance]]</f>
        <v>0</v>
      </c>
    </row>
    <row r="123" spans="1:8" x14ac:dyDescent="0.2">
      <c r="A123" s="5" t="s">
        <v>22</v>
      </c>
      <c r="B123" t="s">
        <v>25</v>
      </c>
      <c r="C123" s="3"/>
      <c r="D123" s="3"/>
      <c r="E123" s="3">
        <f>ExpenseDetails[[#This Row],[Estimated]]-ExpenseDetails[[#This Row],[Actual]]</f>
        <v>0</v>
      </c>
      <c r="F123" s="3"/>
      <c r="G123" s="3">
        <f>ExpenseDetails[[#This Row],[Prior Year]]-ExpenseDetails[[#This Row],[Actual]]</f>
        <v>0</v>
      </c>
      <c r="H123">
        <f>ExpenseDetails[[#This Row],[Prior Year Variance]]</f>
        <v>0</v>
      </c>
    </row>
    <row r="124" spans="1:8" x14ac:dyDescent="0.2">
      <c r="A124" s="5" t="s">
        <v>22</v>
      </c>
      <c r="B124" t="s">
        <v>25</v>
      </c>
      <c r="C124" s="3"/>
      <c r="D124" s="3"/>
      <c r="E124" s="3">
        <f>ExpenseDetails[[#This Row],[Estimated]]-ExpenseDetails[[#This Row],[Actual]]</f>
        <v>0</v>
      </c>
      <c r="F124" s="3"/>
      <c r="G124" s="3">
        <f>ExpenseDetails[[#This Row],[Prior Year]]-ExpenseDetails[[#This Row],[Actual]]</f>
        <v>0</v>
      </c>
      <c r="H124">
        <f>ExpenseDetails[[#This Row],[Prior Year Variance]]</f>
        <v>0</v>
      </c>
    </row>
    <row r="125" spans="1:8" x14ac:dyDescent="0.2">
      <c r="A125" s="5" t="s">
        <v>22</v>
      </c>
      <c r="B125" t="s">
        <v>26</v>
      </c>
      <c r="C125" s="3"/>
      <c r="D125" s="3"/>
      <c r="E125" s="3">
        <f>ExpenseDetails[[#This Row],[Estimated]]-ExpenseDetails[[#This Row],[Actual]]</f>
        <v>0</v>
      </c>
      <c r="F125" s="3"/>
      <c r="G125" s="3">
        <f>ExpenseDetails[[#This Row],[Prior Year]]-ExpenseDetails[[#This Row],[Actual]]</f>
        <v>0</v>
      </c>
      <c r="H125">
        <f>ExpenseDetails[[#This Row],[Prior Year Variance]]</f>
        <v>0</v>
      </c>
    </row>
    <row r="126" spans="1:8" x14ac:dyDescent="0.2">
      <c r="A126" s="5" t="s">
        <v>22</v>
      </c>
      <c r="B126" t="s">
        <v>28</v>
      </c>
      <c r="C126" s="3"/>
      <c r="D126" s="3"/>
      <c r="E126" s="3">
        <f>ExpenseDetails[[#This Row],[Estimated]]-ExpenseDetails[[#This Row],[Actual]]</f>
        <v>0</v>
      </c>
      <c r="F126" s="3"/>
      <c r="G126" s="3">
        <f>ExpenseDetails[[#This Row],[Prior Year]]-ExpenseDetails[[#This Row],[Actual]]</f>
        <v>0</v>
      </c>
      <c r="H126">
        <f>ExpenseDetails[[#This Row],[Prior Year Variance]]</f>
        <v>0</v>
      </c>
    </row>
    <row r="127" spans="1:8" x14ac:dyDescent="0.2">
      <c r="A127" s="5" t="s">
        <v>22</v>
      </c>
      <c r="B127" t="s">
        <v>14</v>
      </c>
      <c r="C127" s="3"/>
      <c r="D127" s="3"/>
      <c r="E127" s="3">
        <f>ExpenseDetails[[#This Row],[Estimated]]-ExpenseDetails[[#This Row],[Actual]]</f>
        <v>0</v>
      </c>
      <c r="F127" s="3"/>
      <c r="G127" s="3">
        <f>ExpenseDetails[[#This Row],[Prior Year]]-ExpenseDetails[[#This Row],[Actual]]</f>
        <v>0</v>
      </c>
      <c r="H127">
        <f>ExpenseDetails[[#This Row],[Prior Year Variance]]</f>
        <v>0</v>
      </c>
    </row>
    <row r="128" spans="1:8" x14ac:dyDescent="0.2">
      <c r="A128" s="5" t="s">
        <v>22</v>
      </c>
      <c r="B128" t="s">
        <v>31</v>
      </c>
      <c r="C128" s="3"/>
      <c r="D128" s="3"/>
      <c r="E128" s="3">
        <f>ExpenseDetails[[#This Row],[Estimated]]-ExpenseDetails[[#This Row],[Actual]]</f>
        <v>0</v>
      </c>
      <c r="F128" s="3"/>
      <c r="G128" s="3">
        <f>ExpenseDetails[[#This Row],[Prior Year]]-ExpenseDetails[[#This Row],[Actual]]</f>
        <v>0</v>
      </c>
      <c r="H128">
        <f>ExpenseDetails[[#This Row],[Prior Year Variance]]</f>
        <v>0</v>
      </c>
    </row>
    <row r="129" spans="1:8" x14ac:dyDescent="0.2">
      <c r="A129" s="5" t="s">
        <v>22</v>
      </c>
      <c r="B129" t="s">
        <v>29</v>
      </c>
      <c r="C129" s="3"/>
      <c r="D129" s="3"/>
      <c r="E129" s="3">
        <f>ExpenseDetails[[#This Row],[Estimated]]-ExpenseDetails[[#This Row],[Actual]]</f>
        <v>0</v>
      </c>
      <c r="F129" s="3"/>
      <c r="G129" s="3">
        <f>ExpenseDetails[[#This Row],[Prior Year]]-ExpenseDetails[[#This Row],[Actual]]</f>
        <v>0</v>
      </c>
      <c r="H129">
        <f>ExpenseDetails[[#This Row],[Prior Year Variance]]</f>
        <v>0</v>
      </c>
    </row>
    <row r="130" spans="1:8" x14ac:dyDescent="0.2">
      <c r="A130" s="5" t="s">
        <v>22</v>
      </c>
      <c r="B130" t="s">
        <v>12</v>
      </c>
      <c r="C130" s="3"/>
      <c r="D130" s="3"/>
      <c r="E130" s="3">
        <f>ExpenseDetails[[#This Row],[Estimated]]-ExpenseDetails[[#This Row],[Actual]]</f>
        <v>0</v>
      </c>
      <c r="F130" s="3"/>
      <c r="G130" s="3">
        <f>ExpenseDetails[[#This Row],[Prior Year]]-ExpenseDetails[[#This Row],[Actual]]</f>
        <v>0</v>
      </c>
      <c r="H130">
        <f>ExpenseDetails[[#This Row],[Prior Year Variance]]</f>
        <v>0</v>
      </c>
    </row>
    <row r="131" spans="1:8" x14ac:dyDescent="0.2">
      <c r="A131" s="5" t="s">
        <v>22</v>
      </c>
      <c r="B131" t="s">
        <v>13</v>
      </c>
      <c r="C131" s="3"/>
      <c r="D131" s="3"/>
      <c r="E131" s="3">
        <f>ExpenseDetails[[#This Row],[Estimated]]-ExpenseDetails[[#This Row],[Actual]]</f>
        <v>0</v>
      </c>
      <c r="F131" s="3"/>
      <c r="G131" s="3">
        <f>ExpenseDetails[[#This Row],[Prior Year]]-ExpenseDetails[[#This Row],[Actual]]</f>
        <v>0</v>
      </c>
      <c r="H131">
        <f>ExpenseDetails[[#This Row],[Prior Year Variance]]</f>
        <v>0</v>
      </c>
    </row>
    <row r="132" spans="1:8" x14ac:dyDescent="0.2">
      <c r="A132" s="5" t="s">
        <v>22</v>
      </c>
      <c r="B132" t="s">
        <v>11</v>
      </c>
      <c r="C132" s="3"/>
      <c r="D132" s="3"/>
      <c r="E132" s="3">
        <f>ExpenseDetails[[#This Row],[Estimated]]-ExpenseDetails[[#This Row],[Actual]]</f>
        <v>0</v>
      </c>
      <c r="F132" s="3"/>
      <c r="G132" s="3">
        <f>ExpenseDetails[[#This Row],[Prior Year]]-ExpenseDetails[[#This Row],[Actual]]</f>
        <v>0</v>
      </c>
      <c r="H132">
        <f>ExpenseDetails[[#This Row],[Prior Year Variance]]</f>
        <v>0</v>
      </c>
    </row>
    <row r="133" spans="1:8" x14ac:dyDescent="0.2">
      <c r="A133" s="4" t="s">
        <v>22</v>
      </c>
      <c r="B133" t="s">
        <v>27</v>
      </c>
      <c r="C133" s="3"/>
      <c r="D133" s="3"/>
      <c r="E133" s="3">
        <f>ExpenseDetails[[#This Row],[Estimated]]-ExpenseDetails[[#This Row],[Actual]]</f>
        <v>0</v>
      </c>
      <c r="F133" s="3"/>
      <c r="G133" s="3">
        <f>ExpenseDetails[[#This Row],[Prior Year]]-ExpenseDetails[[#This Row],[Actual]]</f>
        <v>0</v>
      </c>
      <c r="H133">
        <f>ExpenseDetails[[#This Row],[Prior Year Variance]]</f>
        <v>0</v>
      </c>
    </row>
    <row r="134" spans="1:8" x14ac:dyDescent="0.2">
      <c r="C134" s="3"/>
      <c r="D134" s="3"/>
      <c r="E134" s="3">
        <f>ExpenseDetails[[#This Row],[Estimated]]-ExpenseDetails[[#This Row],[Actual]]</f>
        <v>0</v>
      </c>
      <c r="F134" s="3"/>
      <c r="G134" s="3">
        <f>ExpenseDetails[[#This Row],[Prior Year]]-ExpenseDetails[[#This Row],[Actual]]</f>
        <v>0</v>
      </c>
      <c r="H134">
        <f>ExpenseDetails[[#This Row],[Prior Year Variance]]</f>
        <v>0</v>
      </c>
    </row>
  </sheetData>
  <conditionalFormatting sqref="H2:H134">
    <cfRule type="dataBar" priority="460">
      <dataBar showValue="0">
        <cfvo type="min"/>
        <cfvo type="max"/>
        <color theme="5"/>
      </dataBar>
      <extLst>
        <ext xmlns:x14="http://schemas.microsoft.com/office/spreadsheetml/2009/9/main" uri="{B025F937-C7B1-47D3-B67F-A62EFF666E3E}">
          <x14:id>{9E1D629C-C9E4-46EE-955B-95C11716F046}</x14:id>
        </ext>
      </extLst>
    </cfRule>
  </conditionalFormatting>
  <dataValidations count="1">
    <dataValidation type="list" allowBlank="1" showInputMessage="1" showErrorMessage="1" errorTitle="Invalid Data" error="If you need to add a new category to this list, you can add new list items to the Budget Category Lookup column on the worksheet named Lookup Lists." sqref="B2:B134" xr:uid="{00000000-0002-0000-0100-000000000000}">
      <formula1>LineItem</formula1>
    </dataValidation>
  </dataValidations>
  <pageMargins left="0.5" right="0.5" top="0.75" bottom="0.75" header="0.3" footer="0.3"/>
  <pageSetup orientation="portrait" horizontalDpi="4294967292" verticalDpi="4294967292"/>
  <headerFooter>
    <oddHeader>&amp;L&amp;"-,Bold"&amp;16&amp;K01+024Monthly Budget - Detail&amp;R&amp;"-,Bold"&amp;K01+024&amp;D
Page &amp;P of &amp;N</oddHeader>
  </headerFooter>
  <tableParts count="1">
    <tablePart r:id="rId1"/>
  </tableParts>
  <extLst>
    <ext xmlns:x14="http://schemas.microsoft.com/office/spreadsheetml/2009/9/main" uri="{78C0D931-6437-407d-A8EE-F0AAD7539E65}">
      <x14:conditionalFormattings>
        <x14:conditionalFormatting xmlns:xm="http://schemas.microsoft.com/office/excel/2006/main">
          <x14:cfRule type="iconSet" priority="462" id="{F2FB7FF4-1734-4CDA-9347-1DD0CA5DB733}">
            <x14:iconSet iconSet="3Triangles" custom="1">
              <x14:cfvo type="percent">
                <xm:f>0</xm:f>
              </x14:cfvo>
              <x14:cfvo type="num">
                <xm:f>0</xm:f>
              </x14:cfvo>
              <x14:cfvo type="num">
                <xm:f>1</xm:f>
              </x14:cfvo>
              <x14:cfIcon iconSet="3Triangles" iconId="0"/>
              <x14:cfIcon iconSet="NoIcons" iconId="0"/>
              <x14:cfIcon iconSet="3Triangles" iconId="2"/>
            </x14:iconSet>
          </x14:cfRule>
          <xm:sqref>E2:E134 G2:G134</xm:sqref>
        </x14:conditionalFormatting>
        <x14:conditionalFormatting xmlns:xm="http://schemas.microsoft.com/office/excel/2006/main">
          <x14:cfRule type="dataBar" id="{9E1D629C-C9E4-46EE-955B-95C11716F046}">
            <x14:dataBar minLength="0" maxLength="100" gradient="0" axisPosition="middle">
              <x14:cfvo type="autoMin"/>
              <x14:cfvo type="autoMax"/>
              <x14:negativeFillColor theme="5" tint="-0.499984740745262"/>
              <x14:axisColor theme="7" tint="-0.499984740745262"/>
            </x14:dataBar>
          </x14:cfRule>
          <xm:sqref>H2:H134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H13"/>
  <sheetViews>
    <sheetView workbookViewId="0">
      <selection activeCell="C2" sqref="C2:C14"/>
    </sheetView>
  </sheetViews>
  <sheetFormatPr baseColWidth="10" defaultColWidth="8.83203125" defaultRowHeight="16" x14ac:dyDescent="0.2"/>
  <cols>
    <col min="1" max="1" width="17.1640625" customWidth="1"/>
    <col min="2" max="2" width="20" style="1" customWidth="1"/>
    <col min="3" max="3" width="13.33203125" customWidth="1"/>
    <col min="4" max="4" width="11.5" customWidth="1"/>
    <col min="5" max="5" width="10.1640625" customWidth="1"/>
    <col min="6" max="6" width="13.1640625" customWidth="1"/>
    <col min="7" max="7" width="15" customWidth="1"/>
    <col min="8" max="8" width="20.1640625" customWidth="1"/>
    <col min="9" max="9" width="23.6640625" customWidth="1"/>
  </cols>
  <sheetData>
    <row r="1" spans="1:8" x14ac:dyDescent="0.2">
      <c r="A1" t="s">
        <v>7</v>
      </c>
      <c r="B1" t="s">
        <v>5</v>
      </c>
      <c r="C1" t="s">
        <v>23</v>
      </c>
      <c r="D1" t="s">
        <v>0</v>
      </c>
      <c r="E1" t="s">
        <v>6</v>
      </c>
      <c r="F1" t="s">
        <v>8</v>
      </c>
      <c r="G1" t="s">
        <v>9</v>
      </c>
      <c r="H1" t="s">
        <v>10</v>
      </c>
    </row>
    <row r="2" spans="1:8" x14ac:dyDescent="0.2">
      <c r="A2" t="s">
        <v>1</v>
      </c>
      <c r="B2" t="s">
        <v>33</v>
      </c>
      <c r="C2" s="3"/>
      <c r="D2" s="3"/>
      <c r="E2" s="3">
        <f>IncomeDetails[[#This Row],[Actual]]-IncomeDetails[[#This Row],[Estimated]]</f>
        <v>0</v>
      </c>
      <c r="F2" s="3"/>
      <c r="G2" s="3">
        <f>IncomeDetails[[#This Row],[Actual]]-IncomeDetails[[#This Row],[Prior Year]]</f>
        <v>0</v>
      </c>
      <c r="H2" s="2">
        <f>IncomeDetails[[#This Row],[Prior Year Variance]]</f>
        <v>0</v>
      </c>
    </row>
    <row r="3" spans="1:8" x14ac:dyDescent="0.2">
      <c r="A3" t="s">
        <v>2</v>
      </c>
      <c r="B3" t="s">
        <v>33</v>
      </c>
      <c r="C3" s="3"/>
      <c r="D3" s="3"/>
      <c r="E3" s="3">
        <f>IncomeDetails[[#This Row],[Actual]]-IncomeDetails[[#This Row],[Estimated]]</f>
        <v>0</v>
      </c>
      <c r="F3" s="3"/>
      <c r="G3" s="3">
        <f>IncomeDetails[[#This Row],[Actual]]-IncomeDetails[[#This Row],[Prior Year]]</f>
        <v>0</v>
      </c>
      <c r="H3" s="2">
        <f>IncomeDetails[[#This Row],[Prior Year Variance]]</f>
        <v>0</v>
      </c>
    </row>
    <row r="4" spans="1:8" x14ac:dyDescent="0.2">
      <c r="A4" t="s">
        <v>3</v>
      </c>
      <c r="B4" t="s">
        <v>33</v>
      </c>
      <c r="C4" s="3"/>
      <c r="D4" s="3"/>
      <c r="E4" s="3">
        <f>IncomeDetails[[#This Row],[Actual]]-IncomeDetails[[#This Row],[Estimated]]</f>
        <v>0</v>
      </c>
      <c r="F4" s="3"/>
      <c r="G4" s="3">
        <f>IncomeDetails[[#This Row],[Actual]]-IncomeDetails[[#This Row],[Prior Year]]</f>
        <v>0</v>
      </c>
      <c r="H4" s="2">
        <f>IncomeDetails[[#This Row],[Prior Year Variance]]</f>
        <v>0</v>
      </c>
    </row>
    <row r="5" spans="1:8" x14ac:dyDescent="0.2">
      <c r="A5" t="s">
        <v>4</v>
      </c>
      <c r="B5" t="s">
        <v>33</v>
      </c>
      <c r="C5" s="3"/>
      <c r="D5" s="3"/>
      <c r="E5" s="3">
        <f>IncomeDetails[[#This Row],[Actual]]-IncomeDetails[[#This Row],[Estimated]]</f>
        <v>0</v>
      </c>
      <c r="F5" s="3"/>
      <c r="G5" s="3">
        <f>IncomeDetails[[#This Row],[Actual]]-IncomeDetails[[#This Row],[Prior Year]]</f>
        <v>0</v>
      </c>
      <c r="H5" s="2">
        <f>IncomeDetails[[#This Row],[Prior Year Variance]]</f>
        <v>0</v>
      </c>
    </row>
    <row r="6" spans="1:8" x14ac:dyDescent="0.2">
      <c r="A6" t="s">
        <v>15</v>
      </c>
      <c r="B6" t="s">
        <v>33</v>
      </c>
      <c r="C6" s="3"/>
      <c r="D6" s="3"/>
      <c r="E6" s="3">
        <f>IncomeDetails[[#This Row],[Actual]]-IncomeDetails[[#This Row],[Estimated]]</f>
        <v>0</v>
      </c>
      <c r="F6" s="3"/>
      <c r="G6" s="3">
        <f>IncomeDetails[[#This Row],[Actual]]-IncomeDetails[[#This Row],[Prior Year]]</f>
        <v>0</v>
      </c>
      <c r="H6" s="2">
        <f>IncomeDetails[[#This Row],[Prior Year Variance]]</f>
        <v>0</v>
      </c>
    </row>
    <row r="7" spans="1:8" x14ac:dyDescent="0.2">
      <c r="A7" t="s">
        <v>16</v>
      </c>
      <c r="B7" t="s">
        <v>33</v>
      </c>
      <c r="C7" s="3"/>
      <c r="D7" s="3"/>
      <c r="E7" s="3">
        <f>IncomeDetails[[#This Row],[Actual]]-IncomeDetails[[#This Row],[Estimated]]</f>
        <v>0</v>
      </c>
      <c r="F7" s="3"/>
      <c r="G7" s="3">
        <f>IncomeDetails[[#This Row],[Actual]]-IncomeDetails[[#This Row],[Prior Year]]</f>
        <v>0</v>
      </c>
      <c r="H7" s="2">
        <f>IncomeDetails[[#This Row],[Prior Year Variance]]</f>
        <v>0</v>
      </c>
    </row>
    <row r="8" spans="1:8" x14ac:dyDescent="0.2">
      <c r="A8" t="s">
        <v>17</v>
      </c>
      <c r="B8" t="s">
        <v>33</v>
      </c>
      <c r="C8" s="3"/>
      <c r="D8" s="3"/>
      <c r="E8" s="3">
        <f>IncomeDetails[[#This Row],[Actual]]-IncomeDetails[[#This Row],[Estimated]]</f>
        <v>0</v>
      </c>
      <c r="F8" s="3"/>
      <c r="G8" s="3">
        <f>IncomeDetails[[#This Row],[Actual]]-IncomeDetails[[#This Row],[Prior Year]]</f>
        <v>0</v>
      </c>
      <c r="H8" s="2">
        <f>IncomeDetails[[#This Row],[Prior Year Variance]]</f>
        <v>0</v>
      </c>
    </row>
    <row r="9" spans="1:8" x14ac:dyDescent="0.2">
      <c r="A9" t="s">
        <v>18</v>
      </c>
      <c r="B9" t="s">
        <v>33</v>
      </c>
      <c r="C9" s="3"/>
      <c r="D9" s="3"/>
      <c r="E9" s="3">
        <f>IncomeDetails[[#This Row],[Actual]]-IncomeDetails[[#This Row],[Estimated]]</f>
        <v>0</v>
      </c>
      <c r="F9" s="3"/>
      <c r="G9" s="3">
        <f>IncomeDetails[[#This Row],[Actual]]-IncomeDetails[[#This Row],[Prior Year]]</f>
        <v>0</v>
      </c>
      <c r="H9" s="2">
        <f>IncomeDetails[[#This Row],[Prior Year Variance]]</f>
        <v>0</v>
      </c>
    </row>
    <row r="10" spans="1:8" x14ac:dyDescent="0.2">
      <c r="A10" t="s">
        <v>19</v>
      </c>
      <c r="B10" t="s">
        <v>33</v>
      </c>
      <c r="C10" s="3"/>
      <c r="D10" s="3"/>
      <c r="E10" s="3">
        <f>IncomeDetails[[#This Row],[Actual]]-IncomeDetails[[#This Row],[Estimated]]</f>
        <v>0</v>
      </c>
      <c r="F10" s="3"/>
      <c r="G10" s="3">
        <f>IncomeDetails[[#This Row],[Actual]]-IncomeDetails[[#This Row],[Prior Year]]</f>
        <v>0</v>
      </c>
      <c r="H10" s="2">
        <f>IncomeDetails[[#This Row],[Prior Year Variance]]</f>
        <v>0</v>
      </c>
    </row>
    <row r="11" spans="1:8" x14ac:dyDescent="0.2">
      <c r="A11" t="s">
        <v>20</v>
      </c>
      <c r="B11" t="s">
        <v>33</v>
      </c>
      <c r="C11" s="3"/>
      <c r="D11" s="3"/>
      <c r="E11" s="3">
        <f>IncomeDetails[[#This Row],[Actual]]-IncomeDetails[[#This Row],[Estimated]]</f>
        <v>0</v>
      </c>
      <c r="F11" s="3"/>
      <c r="G11" s="3">
        <f>IncomeDetails[[#This Row],[Actual]]-IncomeDetails[[#This Row],[Prior Year]]</f>
        <v>0</v>
      </c>
      <c r="H11" s="2">
        <f>IncomeDetails[[#This Row],[Prior Year Variance]]</f>
        <v>0</v>
      </c>
    </row>
    <row r="12" spans="1:8" x14ac:dyDescent="0.2">
      <c r="A12" t="s">
        <v>21</v>
      </c>
      <c r="B12" t="s">
        <v>33</v>
      </c>
      <c r="C12" s="3"/>
      <c r="D12" s="3"/>
      <c r="E12" s="3">
        <f>IncomeDetails[[#This Row],[Actual]]-IncomeDetails[[#This Row],[Estimated]]</f>
        <v>0</v>
      </c>
      <c r="F12" s="3"/>
      <c r="G12" s="3">
        <f>IncomeDetails[[#This Row],[Actual]]-IncomeDetails[[#This Row],[Prior Year]]</f>
        <v>0</v>
      </c>
      <c r="H12" s="2">
        <f>IncomeDetails[[#This Row],[Prior Year Variance]]</f>
        <v>0</v>
      </c>
    </row>
    <row r="13" spans="1:8" x14ac:dyDescent="0.2">
      <c r="A13" t="s">
        <v>22</v>
      </c>
      <c r="B13" t="s">
        <v>33</v>
      </c>
      <c r="C13" s="3"/>
      <c r="D13" s="3"/>
      <c r="E13" s="3">
        <f>IncomeDetails[[#This Row],[Actual]]-IncomeDetails[[#This Row],[Estimated]]</f>
        <v>0</v>
      </c>
      <c r="F13" s="3"/>
      <c r="G13" s="3">
        <f>IncomeDetails[[#This Row],[Actual]]-IncomeDetails[[#This Row],[Prior Year]]</f>
        <v>0</v>
      </c>
      <c r="H13" s="2">
        <f>IncomeDetails[[#This Row],[Prior Year Variance]]</f>
        <v>0</v>
      </c>
    </row>
  </sheetData>
  <phoneticPr fontId="4" type="noConversion"/>
  <conditionalFormatting sqref="H2:H13">
    <cfRule type="dataBar" priority="437">
      <dataBar showValue="0">
        <cfvo type="min"/>
        <cfvo type="max"/>
        <color theme="5"/>
      </dataBar>
      <extLst>
        <ext xmlns:x14="http://schemas.microsoft.com/office/spreadsheetml/2009/9/main" uri="{B025F937-C7B1-47D3-B67F-A62EFF666E3E}">
          <x14:id>{6B0FF1A7-3425-4B47-A2CD-0EA571534AD9}</x14:id>
        </ext>
      </extLst>
    </cfRule>
  </conditionalFormatting>
  <dataValidations count="1">
    <dataValidation type="list" allowBlank="1" showInputMessage="1" showErrorMessage="1" errorTitle="Invalid Entry" error="If you need to add a new item to this list you can add new list items to the Income Line Item Lookup table on the worksheet named Lookup Lists." sqref="B2:B13" xr:uid="{00000000-0002-0000-0200-000000000000}">
      <formula1>IncomeLookupList</formula1>
    </dataValidation>
  </dataValidations>
  <pageMargins left="0.5" right="0.5" top="0.75" bottom="0.75" header="0.3" footer="0.3"/>
  <pageSetup orientation="portrait" horizontalDpi="4294967292" verticalDpi="4294967292"/>
  <headerFooter>
    <oddHeader>&amp;L&amp;"-,Bold"&amp;16&amp;K01+024Monthly Budget - Detail&amp;R&amp;"-,Bold"&amp;K01+024&amp;D
Page &amp;P of &amp;N</oddHeader>
  </headerFooter>
  <tableParts count="1">
    <tablePart r:id="rId1"/>
  </tableParts>
  <extLst>
    <ext xmlns:x14="http://schemas.microsoft.com/office/spreadsheetml/2009/9/main" uri="{78C0D931-6437-407d-A8EE-F0AAD7539E65}">
      <x14:conditionalFormattings>
        <x14:conditionalFormatting xmlns:xm="http://schemas.microsoft.com/office/excel/2006/main">
          <x14:cfRule type="iconSet" priority="438" id="{E82E65F7-5DD1-4F10-862B-4F941961ECAF}">
            <x14:iconSet iconSet="3Triangles" custom="1">
              <x14:cfvo type="percent">
                <xm:f>0</xm:f>
              </x14:cfvo>
              <x14:cfvo type="num">
                <xm:f>0</xm:f>
              </x14:cfvo>
              <x14:cfvo type="num">
                <xm:f>1</xm:f>
              </x14:cfvo>
              <x14:cfIcon iconSet="3Triangles" iconId="0"/>
              <x14:cfIcon iconSet="NoIcons" iconId="0"/>
              <x14:cfIcon iconSet="3Triangles" iconId="2"/>
            </x14:iconSet>
          </x14:cfRule>
          <xm:sqref>E2:E13 G2:G13</xm:sqref>
        </x14:conditionalFormatting>
        <x14:conditionalFormatting xmlns:xm="http://schemas.microsoft.com/office/excel/2006/main">
          <x14:cfRule type="dataBar" id="{6B0FF1A7-3425-4B47-A2CD-0EA571534AD9}">
            <x14:dataBar minLength="0" maxLength="100" gradient="0" axisPosition="middle">
              <x14:cfvo type="autoMin"/>
              <x14:cfvo type="autoMax"/>
              <x14:negativeFillColor theme="5" tint="-0.499984740745262"/>
              <x14:axisColor theme="7" tint="-0.499984740745262"/>
            </x14:dataBar>
          </x14:cfRule>
          <xm:sqref>H2:H13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Budget Worksheet</vt:lpstr>
      <vt:lpstr>Rate Calculator</vt:lpstr>
      <vt:lpstr>Fee Schedule</vt:lpstr>
      <vt:lpstr>Connection Fees</vt:lpstr>
      <vt:lpstr>ReserveFund</vt:lpstr>
      <vt:lpstr>Sheet2</vt:lpstr>
      <vt:lpstr>Expense Details</vt:lpstr>
      <vt:lpstr>Income Details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Ashutosh Patel</dc:creator>
  <cp:keywords/>
  <dc:description/>
  <cp:lastModifiedBy>Microsoft Office User</cp:lastModifiedBy>
  <cp:lastPrinted>2020-12-16T03:41:28Z</cp:lastPrinted>
  <dcterms:created xsi:type="dcterms:W3CDTF">2010-03-18T14:33:29Z</dcterms:created>
  <dcterms:modified xsi:type="dcterms:W3CDTF">2023-12-19T16:09:23Z</dcterms:modified>
  <cp:category/>
</cp:coreProperties>
</file>