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pps\wp-doc\minutes\2015\"/>
    </mc:Choice>
  </mc:AlternateContent>
  <bookViews>
    <workbookView xWindow="0" yWindow="0" windowWidth="23970" windowHeight="9660"/>
  </bookViews>
  <sheets>
    <sheet name="Original Bond" sheetId="1" r:id="rId1"/>
    <sheet name="2016 Refinance 1.2% MAGI" sheetId="7" r:id="rId2"/>
    <sheet name="2016 Refinance 1.2% MAGI Check" sheetId="8" r:id="rId3"/>
  </sheets>
  <externalReferences>
    <externalReference r:id="rId4"/>
  </externalReferences>
  <definedNames>
    <definedName name="_xlnm.Print_Area" localSheetId="1">'2016 Refinance 1.2% MAGI'!$A$1:$W$53</definedName>
    <definedName name="_xlnm.Print_Area" localSheetId="2">'2016 Refinance 1.2% MAGI Check'!$A$1:$W$53</definedName>
  </definedNames>
  <calcPr calcId="152511"/>
</workbook>
</file>

<file path=xl/calcChain.xml><?xml version="1.0" encoding="utf-8"?>
<calcChain xmlns="http://schemas.openxmlformats.org/spreadsheetml/2006/main">
  <c r="AA20" i="7" l="1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8" i="7" l="1"/>
  <c r="W9" i="8" l="1"/>
  <c r="K11" i="8"/>
  <c r="K12" i="8"/>
  <c r="K10" i="8"/>
  <c r="J18" i="8"/>
  <c r="J19" i="8"/>
  <c r="I20" i="8"/>
  <c r="J1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A18" i="8"/>
  <c r="A19" i="8" s="1"/>
  <c r="A20" i="8" s="1"/>
  <c r="Q17" i="8"/>
  <c r="Q26" i="8" s="1"/>
  <c r="G17" i="8"/>
  <c r="W10" i="8"/>
  <c r="W5" i="8"/>
  <c r="E17" i="8" s="1"/>
  <c r="F5" i="8"/>
  <c r="F7" i="8" s="1"/>
  <c r="AA4" i="8"/>
  <c r="AA5" i="8" s="1"/>
  <c r="AA7" i="8" s="1"/>
  <c r="Q5" i="8" s="1"/>
  <c r="R21" i="8" s="1"/>
  <c r="W9" i="7"/>
  <c r="H53" i="7" s="1"/>
  <c r="H53" i="8" s="1"/>
  <c r="C46" i="7"/>
  <c r="AH42" i="7"/>
  <c r="C45" i="7"/>
  <c r="AH41" i="7"/>
  <c r="C44" i="7"/>
  <c r="AH43" i="7"/>
  <c r="AH40" i="7"/>
  <c r="C43" i="7"/>
  <c r="AH39" i="7"/>
  <c r="C42" i="7"/>
  <c r="AH38" i="7"/>
  <c r="C41" i="7"/>
  <c r="AH37" i="7"/>
  <c r="C40" i="7"/>
  <c r="AH36" i="7"/>
  <c r="C39" i="7"/>
  <c r="AH35" i="7"/>
  <c r="C38" i="7"/>
  <c r="AH34" i="7"/>
  <c r="C37" i="7"/>
  <c r="AH33" i="7"/>
  <c r="C36" i="7"/>
  <c r="AH32" i="7"/>
  <c r="C35" i="7"/>
  <c r="AH31" i="7"/>
  <c r="C34" i="7"/>
  <c r="AH30" i="7"/>
  <c r="C33" i="7"/>
  <c r="AH29" i="7"/>
  <c r="C32" i="7"/>
  <c r="AH28" i="7"/>
  <c r="C31" i="7"/>
  <c r="AH27" i="7"/>
  <c r="C30" i="7"/>
  <c r="AH26" i="7"/>
  <c r="C29" i="7"/>
  <c r="AH25" i="7"/>
  <c r="C28" i="7"/>
  <c r="AH24" i="7"/>
  <c r="C27" i="7"/>
  <c r="AH23" i="7"/>
  <c r="C26" i="7"/>
  <c r="AH22" i="7"/>
  <c r="C25" i="7"/>
  <c r="AH21" i="7"/>
  <c r="C24" i="7"/>
  <c r="AH20" i="7"/>
  <c r="C23" i="7"/>
  <c r="C22" i="7"/>
  <c r="AH18" i="7"/>
  <c r="I21" i="7"/>
  <c r="I21" i="8" s="1"/>
  <c r="C21" i="7"/>
  <c r="AH17" i="7"/>
  <c r="AI17" i="7" s="1"/>
  <c r="C20" i="7"/>
  <c r="AH19" i="7"/>
  <c r="AE18" i="7"/>
  <c r="AE19" i="7" s="1"/>
  <c r="AE20" i="7" s="1"/>
  <c r="AE21" i="7" s="1"/>
  <c r="AE22" i="7" s="1"/>
  <c r="AE23" i="7" s="1"/>
  <c r="AE24" i="7" s="1"/>
  <c r="AE25" i="7" s="1"/>
  <c r="AE26" i="7" s="1"/>
  <c r="AE27" i="7" s="1"/>
  <c r="AE28" i="7" s="1"/>
  <c r="AE29" i="7" s="1"/>
  <c r="AE30" i="7" s="1"/>
  <c r="AE31" i="7" s="1"/>
  <c r="AD18" i="7"/>
  <c r="AD19" i="7" s="1"/>
  <c r="AD20" i="7" s="1"/>
  <c r="AD21" i="7" s="1"/>
  <c r="AD22" i="7" s="1"/>
  <c r="AD23" i="7" s="1"/>
  <c r="AD24" i="7" s="1"/>
  <c r="AD25" i="7" s="1"/>
  <c r="AD26" i="7" s="1"/>
  <c r="AD27" i="7" s="1"/>
  <c r="AD28" i="7" s="1"/>
  <c r="AD29" i="7" s="1"/>
  <c r="AD30" i="7" s="1"/>
  <c r="AD31" i="7" s="1"/>
  <c r="AD32" i="7" s="1"/>
  <c r="AD33" i="7" s="1"/>
  <c r="AD34" i="7" s="1"/>
  <c r="AD35" i="7" s="1"/>
  <c r="AD36" i="7" s="1"/>
  <c r="AD37" i="7" s="1"/>
  <c r="AD38" i="7" s="1"/>
  <c r="AD39" i="7" s="1"/>
  <c r="AD40" i="7" s="1"/>
  <c r="AD41" i="7" s="1"/>
  <c r="AD42" i="7" s="1"/>
  <c r="AD43" i="7" s="1"/>
  <c r="AD44" i="7" s="1"/>
  <c r="AD45" i="7" s="1"/>
  <c r="AD46" i="7" s="1"/>
  <c r="A18" i="7"/>
  <c r="A19" i="7" s="1"/>
  <c r="A20" i="7" s="1"/>
  <c r="Q17" i="7"/>
  <c r="Q46" i="7" s="1"/>
  <c r="G17" i="7"/>
  <c r="W10" i="7"/>
  <c r="W5" i="7"/>
  <c r="E17" i="7" s="1"/>
  <c r="F5" i="7"/>
  <c r="F7" i="7" s="1"/>
  <c r="N4" i="7" s="1"/>
  <c r="AA4" i="7"/>
  <c r="AA5" i="7" s="1"/>
  <c r="AA7" i="7" s="1"/>
  <c r="N5" i="7" s="1"/>
  <c r="R41" i="7" s="1"/>
  <c r="Q33" i="7" l="1"/>
  <c r="Q18" i="7"/>
  <c r="Q19" i="7"/>
  <c r="AI18" i="7"/>
  <c r="Q23" i="7"/>
  <c r="Q41" i="8"/>
  <c r="AI20" i="7"/>
  <c r="AI22" i="7"/>
  <c r="Q28" i="7"/>
  <c r="Q36" i="7"/>
  <c r="Q43" i="7"/>
  <c r="Q35" i="8"/>
  <c r="F17" i="8"/>
  <c r="Q22" i="7"/>
  <c r="Q30" i="7"/>
  <c r="Q38" i="7"/>
  <c r="Q41" i="7"/>
  <c r="R42" i="7"/>
  <c r="Q26" i="7"/>
  <c r="AI24" i="7"/>
  <c r="R32" i="7"/>
  <c r="Q40" i="7"/>
  <c r="Q45" i="7"/>
  <c r="Q20" i="8"/>
  <c r="Q21" i="7"/>
  <c r="Q31" i="7"/>
  <c r="Q39" i="7"/>
  <c r="Q24" i="7"/>
  <c r="Q34" i="7"/>
  <c r="Q29" i="7"/>
  <c r="Q37" i="7"/>
  <c r="Q42" i="7"/>
  <c r="Q44" i="7"/>
  <c r="Q20" i="7"/>
  <c r="Q25" i="7"/>
  <c r="Q27" i="7"/>
  <c r="Q35" i="7"/>
  <c r="A21" i="8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R46" i="8"/>
  <c r="R24" i="8"/>
  <c r="R23" i="8"/>
  <c r="R33" i="8"/>
  <c r="R32" i="8"/>
  <c r="R28" i="8"/>
  <c r="R22" i="8"/>
  <c r="R40" i="8"/>
  <c r="R45" i="8"/>
  <c r="R44" i="8"/>
  <c r="R39" i="8"/>
  <c r="R38" i="8"/>
  <c r="R27" i="8"/>
  <c r="R20" i="8"/>
  <c r="R37" i="8"/>
  <c r="R36" i="8"/>
  <c r="R29" i="8"/>
  <c r="R17" i="8"/>
  <c r="R43" i="8"/>
  <c r="R42" i="8"/>
  <c r="R18" i="8"/>
  <c r="R35" i="8"/>
  <c r="R34" i="8"/>
  <c r="R26" i="8"/>
  <c r="R41" i="8"/>
  <c r="R30" i="8"/>
  <c r="D18" i="8"/>
  <c r="G18" i="8" s="1"/>
  <c r="H17" i="8"/>
  <c r="R19" i="8"/>
  <c r="R25" i="8"/>
  <c r="R31" i="8"/>
  <c r="O17" i="8"/>
  <c r="Q4" i="8"/>
  <c r="Q44" i="8"/>
  <c r="Q42" i="8"/>
  <c r="Q40" i="8"/>
  <c r="Q38" i="8"/>
  <c r="Q36" i="8"/>
  <c r="Q34" i="8"/>
  <c r="Q32" i="8"/>
  <c r="Q46" i="8"/>
  <c r="Q29" i="8"/>
  <c r="Q37" i="8"/>
  <c r="Q19" i="8"/>
  <c r="Q21" i="8"/>
  <c r="Q25" i="8"/>
  <c r="Q30" i="8"/>
  <c r="Q31" i="8"/>
  <c r="Q24" i="8"/>
  <c r="Q27" i="8"/>
  <c r="Q39" i="8"/>
  <c r="Q45" i="8"/>
  <c r="Q22" i="8"/>
  <c r="Q23" i="8"/>
  <c r="Q28" i="8"/>
  <c r="Q33" i="8"/>
  <c r="Q18" i="8"/>
  <c r="Q43" i="8"/>
  <c r="A21" i="7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I28" i="7"/>
  <c r="AI19" i="7"/>
  <c r="R46" i="7"/>
  <c r="R24" i="7"/>
  <c r="R23" i="7"/>
  <c r="R33" i="7"/>
  <c r="R43" i="7"/>
  <c r="R38" i="7"/>
  <c r="R28" i="7"/>
  <c r="R25" i="7"/>
  <c r="R20" i="7"/>
  <c r="R37" i="7"/>
  <c r="R31" i="7"/>
  <c r="R45" i="7"/>
  <c r="R40" i="7"/>
  <c r="R35" i="7"/>
  <c r="R27" i="7"/>
  <c r="R18" i="7"/>
  <c r="R44" i="7"/>
  <c r="R39" i="7"/>
  <c r="R30" i="7"/>
  <c r="R22" i="7"/>
  <c r="AI23" i="7"/>
  <c r="R29" i="7"/>
  <c r="O17" i="7"/>
  <c r="I22" i="7"/>
  <c r="I22" i="8" s="1"/>
  <c r="D18" i="7"/>
  <c r="G18" i="7" s="1"/>
  <c r="R19" i="7"/>
  <c r="AI21" i="7"/>
  <c r="R26" i="7"/>
  <c r="AI27" i="7"/>
  <c r="AI25" i="7"/>
  <c r="F17" i="7"/>
  <c r="H17" i="7" s="1"/>
  <c r="R17" i="7"/>
  <c r="R21" i="7"/>
  <c r="R36" i="7"/>
  <c r="AH47" i="7"/>
  <c r="AI30" i="7"/>
  <c r="AI29" i="7"/>
  <c r="R34" i="7"/>
  <c r="AE32" i="7"/>
  <c r="AE33" i="7" s="1"/>
  <c r="AE34" i="7" s="1"/>
  <c r="AE35" i="7" s="1"/>
  <c r="AE36" i="7" s="1"/>
  <c r="AE37" i="7" s="1"/>
  <c r="AI31" i="7"/>
  <c r="Q32" i="7"/>
  <c r="AI26" i="7"/>
  <c r="E18" i="8" l="1"/>
  <c r="F10" i="8"/>
  <c r="AI34" i="7"/>
  <c r="AI36" i="7"/>
  <c r="AI33" i="7"/>
  <c r="AI32" i="7"/>
  <c r="E18" i="7"/>
  <c r="I23" i="7"/>
  <c r="I23" i="8" s="1"/>
  <c r="AI35" i="7"/>
  <c r="AI37" i="7"/>
  <c r="AE38" i="7"/>
  <c r="F10" i="7"/>
  <c r="I17" i="7"/>
  <c r="I17" i="8" s="1"/>
  <c r="O18" i="8" s="1"/>
  <c r="P17" i="8" l="1"/>
  <c r="F18" i="8"/>
  <c r="D19" i="8"/>
  <c r="G19" i="8" s="1"/>
  <c r="H18" i="8"/>
  <c r="N25" i="8"/>
  <c r="N21" i="8"/>
  <c r="S21" i="8" s="1"/>
  <c r="N19" i="8"/>
  <c r="N23" i="8"/>
  <c r="N17" i="8"/>
  <c r="S17" i="8" s="1"/>
  <c r="N18" i="8"/>
  <c r="N20" i="8"/>
  <c r="S20" i="8" s="1"/>
  <c r="N26" i="8"/>
  <c r="N24" i="8"/>
  <c r="N22" i="8"/>
  <c r="S22" i="8" s="1"/>
  <c r="S23" i="8"/>
  <c r="K17" i="8"/>
  <c r="K17" i="7"/>
  <c r="S23" i="7"/>
  <c r="I24" i="7"/>
  <c r="I24" i="8" s="1"/>
  <c r="N23" i="7"/>
  <c r="N17" i="7"/>
  <c r="S17" i="7" s="1"/>
  <c r="N18" i="7"/>
  <c r="N26" i="7"/>
  <c r="N21" i="7"/>
  <c r="S21" i="7" s="1"/>
  <c r="N19" i="7"/>
  <c r="N22" i="7"/>
  <c r="S22" i="7" s="1"/>
  <c r="N25" i="7"/>
  <c r="N24" i="7"/>
  <c r="N20" i="7"/>
  <c r="S20" i="7" s="1"/>
  <c r="P17" i="7"/>
  <c r="O18" i="7"/>
  <c r="AE39" i="7"/>
  <c r="AI38" i="7"/>
  <c r="D19" i="7"/>
  <c r="G19" i="7" s="1"/>
  <c r="F18" i="7"/>
  <c r="H18" i="7" s="1"/>
  <c r="M47" i="1"/>
  <c r="I46" i="1"/>
  <c r="C46" i="1"/>
  <c r="I45" i="1"/>
  <c r="C45" i="1"/>
  <c r="I44" i="1"/>
  <c r="C44" i="1"/>
  <c r="I43" i="1"/>
  <c r="C43" i="1"/>
  <c r="I42" i="1"/>
  <c r="C42" i="1"/>
  <c r="I41" i="1"/>
  <c r="C41" i="1"/>
  <c r="I40" i="1"/>
  <c r="C40" i="1"/>
  <c r="I39" i="1"/>
  <c r="C39" i="1"/>
  <c r="I38" i="1"/>
  <c r="C38" i="1"/>
  <c r="I37" i="1"/>
  <c r="C37" i="1"/>
  <c r="I36" i="1"/>
  <c r="C36" i="1"/>
  <c r="I35" i="1"/>
  <c r="C35" i="1"/>
  <c r="I34" i="1"/>
  <c r="C34" i="1"/>
  <c r="I33" i="1"/>
  <c r="C33" i="1"/>
  <c r="I32" i="1"/>
  <c r="C32" i="1"/>
  <c r="I31" i="1"/>
  <c r="C31" i="1"/>
  <c r="I30" i="1"/>
  <c r="C30" i="1"/>
  <c r="I29" i="1"/>
  <c r="C29" i="1"/>
  <c r="I28" i="1"/>
  <c r="C28" i="1"/>
  <c r="I27" i="1"/>
  <c r="C27" i="1"/>
  <c r="K26" i="1"/>
  <c r="I26" i="1"/>
  <c r="C26" i="1"/>
  <c r="K25" i="1"/>
  <c r="I25" i="1"/>
  <c r="C25" i="1"/>
  <c r="K24" i="1"/>
  <c r="I24" i="1"/>
  <c r="C24" i="1"/>
  <c r="P23" i="1"/>
  <c r="K23" i="1"/>
  <c r="I23" i="1"/>
  <c r="C23" i="1"/>
  <c r="P22" i="1"/>
  <c r="K22" i="1"/>
  <c r="I22" i="1"/>
  <c r="C22" i="1"/>
  <c r="K21" i="1"/>
  <c r="I21" i="1"/>
  <c r="C21" i="1"/>
  <c r="P20" i="1"/>
  <c r="K20" i="1"/>
  <c r="I20" i="1"/>
  <c r="C20" i="1"/>
  <c r="K19" i="1"/>
  <c r="I19" i="1"/>
  <c r="C19" i="1"/>
  <c r="K18" i="1"/>
  <c r="I18" i="1"/>
  <c r="C18" i="1"/>
  <c r="I17" i="1"/>
  <c r="C17" i="1"/>
  <c r="H16" i="1"/>
  <c r="C16" i="1"/>
  <c r="O15" i="1"/>
  <c r="O25" i="1" s="1"/>
  <c r="N15" i="1"/>
  <c r="L16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E15" i="1"/>
  <c r="C15" i="1"/>
  <c r="F9" i="1"/>
  <c r="N6" i="1"/>
  <c r="P21" i="1" s="1"/>
  <c r="F5" i="1"/>
  <c r="N4" i="1"/>
  <c r="O46" i="1" l="1"/>
  <c r="P24" i="1"/>
  <c r="O21" i="1"/>
  <c r="Q21" i="1" s="1"/>
  <c r="O24" i="1"/>
  <c r="D16" i="1"/>
  <c r="Z17" i="7"/>
  <c r="W17" i="7"/>
  <c r="O16" i="1"/>
  <c r="Q16" i="1" s="1"/>
  <c r="V17" i="8"/>
  <c r="U17" i="8"/>
  <c r="T18" i="8" s="1"/>
  <c r="W17" i="8"/>
  <c r="E19" i="8"/>
  <c r="S24" i="8"/>
  <c r="AE40" i="7"/>
  <c r="AI39" i="7"/>
  <c r="E19" i="7"/>
  <c r="I25" i="7"/>
  <c r="I25" i="8" s="1"/>
  <c r="S24" i="7"/>
  <c r="I18" i="7"/>
  <c r="I18" i="8" s="1"/>
  <c r="K18" i="8" s="1"/>
  <c r="W18" i="8" s="1"/>
  <c r="U17" i="7"/>
  <c r="T18" i="7" s="1"/>
  <c r="V17" i="7"/>
  <c r="AF17" i="7"/>
  <c r="T16" i="1"/>
  <c r="L17" i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O23" i="1"/>
  <c r="Q23" i="1" s="1"/>
  <c r="Q24" i="1"/>
  <c r="E16" i="1"/>
  <c r="O17" i="1"/>
  <c r="I47" i="1"/>
  <c r="M49" i="1" s="1"/>
  <c r="O22" i="1"/>
  <c r="Q22" i="1" s="1"/>
  <c r="O20" i="1"/>
  <c r="O19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Q29" i="1" s="1"/>
  <c r="O28" i="1"/>
  <c r="O27" i="1"/>
  <c r="O26" i="1"/>
  <c r="O18" i="1"/>
  <c r="Q15" i="1"/>
  <c r="Q20" i="1"/>
  <c r="P17" i="1"/>
  <c r="Q17" i="1" s="1"/>
  <c r="P25" i="1"/>
  <c r="Q25" i="1" s="1"/>
  <c r="P46" i="1"/>
  <c r="Q46" i="1" s="1"/>
  <c r="P18" i="1"/>
  <c r="P26" i="1"/>
  <c r="P27" i="1"/>
  <c r="Q27" i="1" s="1"/>
  <c r="P28" i="1"/>
  <c r="Q28" i="1" s="1"/>
  <c r="P29" i="1"/>
  <c r="P30" i="1"/>
  <c r="Q30" i="1" s="1"/>
  <c r="P31" i="1"/>
  <c r="Q31" i="1" s="1"/>
  <c r="P32" i="1"/>
  <c r="Q32" i="1" s="1"/>
  <c r="P33" i="1"/>
  <c r="P34" i="1"/>
  <c r="Q34" i="1" s="1"/>
  <c r="P35" i="1"/>
  <c r="Q35" i="1" s="1"/>
  <c r="P36" i="1"/>
  <c r="P37" i="1"/>
  <c r="P38" i="1"/>
  <c r="Q38" i="1" s="1"/>
  <c r="P39" i="1"/>
  <c r="Q39" i="1" s="1"/>
  <c r="P40" i="1"/>
  <c r="Q40" i="1" s="1"/>
  <c r="P41" i="1"/>
  <c r="P42" i="1"/>
  <c r="P43" i="1"/>
  <c r="Q43" i="1" s="1"/>
  <c r="P44" i="1"/>
  <c r="Q44" i="1" s="1"/>
  <c r="P45" i="1"/>
  <c r="P19" i="1"/>
  <c r="Q19" i="1" s="1"/>
  <c r="Q45" i="1" l="1"/>
  <c r="Q41" i="1"/>
  <c r="Q37" i="1"/>
  <c r="Q33" i="1"/>
  <c r="Q18" i="1"/>
  <c r="P18" i="8"/>
  <c r="S18" i="8"/>
  <c r="V18" i="8" s="1"/>
  <c r="Q36" i="1"/>
  <c r="AB17" i="7"/>
  <c r="O19" i="8"/>
  <c r="Q26" i="1"/>
  <c r="Q42" i="1"/>
  <c r="P18" i="7"/>
  <c r="F19" i="8"/>
  <c r="U18" i="8"/>
  <c r="T19" i="8" s="1"/>
  <c r="S25" i="8"/>
  <c r="D20" i="8"/>
  <c r="G20" i="8" s="1"/>
  <c r="H19" i="8"/>
  <c r="I26" i="7"/>
  <c r="I26" i="8" s="1"/>
  <c r="S25" i="7"/>
  <c r="D20" i="7"/>
  <c r="G20" i="7" s="1"/>
  <c r="F19" i="7"/>
  <c r="H19" i="7" s="1"/>
  <c r="AG17" i="7"/>
  <c r="S18" i="7"/>
  <c r="V18" i="7" s="1"/>
  <c r="K18" i="7"/>
  <c r="O19" i="7"/>
  <c r="AE41" i="7"/>
  <c r="AI40" i="7"/>
  <c r="T15" i="1"/>
  <c r="S15" i="1"/>
  <c r="R16" i="1" s="1"/>
  <c r="S16" i="1" s="1"/>
  <c r="R17" i="1" s="1"/>
  <c r="D17" i="1"/>
  <c r="G17" i="1" s="1"/>
  <c r="Z18" i="7" l="1"/>
  <c r="W18" i="7"/>
  <c r="E20" i="8"/>
  <c r="S26" i="8"/>
  <c r="E20" i="7"/>
  <c r="AF18" i="7"/>
  <c r="I27" i="7"/>
  <c r="I27" i="8" s="1"/>
  <c r="S26" i="7"/>
  <c r="AE42" i="7"/>
  <c r="AI41" i="7"/>
  <c r="U18" i="7"/>
  <c r="T19" i="7" s="1"/>
  <c r="I19" i="7"/>
  <c r="I19" i="8" s="1"/>
  <c r="O20" i="8" s="1"/>
  <c r="O21" i="8" s="1"/>
  <c r="O22" i="8" s="1"/>
  <c r="O23" i="8" s="1"/>
  <c r="O24" i="8" s="1"/>
  <c r="O25" i="8" s="1"/>
  <c r="O26" i="8" s="1"/>
  <c r="O27" i="8" s="1"/>
  <c r="O20" i="7"/>
  <c r="O21" i="7" s="1"/>
  <c r="O22" i="7" s="1"/>
  <c r="O23" i="7" s="1"/>
  <c r="O24" i="7" s="1"/>
  <c r="O25" i="7" s="1"/>
  <c r="O26" i="7" s="1"/>
  <c r="O27" i="7" s="1"/>
  <c r="E17" i="1"/>
  <c r="K19" i="8" l="1"/>
  <c r="W19" i="8" s="1"/>
  <c r="J20" i="7"/>
  <c r="AB18" i="7"/>
  <c r="S19" i="8"/>
  <c r="V19" i="8" s="1"/>
  <c r="P19" i="8"/>
  <c r="P20" i="8" s="1"/>
  <c r="P21" i="8" s="1"/>
  <c r="P22" i="8" s="1"/>
  <c r="P23" i="8" s="1"/>
  <c r="P24" i="8" s="1"/>
  <c r="P25" i="8" s="1"/>
  <c r="P26" i="8" s="1"/>
  <c r="P27" i="8" s="1"/>
  <c r="O28" i="8"/>
  <c r="D21" i="8"/>
  <c r="G21" i="8" s="1"/>
  <c r="F20" i="8"/>
  <c r="H20" i="8" s="1"/>
  <c r="V20" i="8" s="1"/>
  <c r="O28" i="7"/>
  <c r="U19" i="8"/>
  <c r="T20" i="8" s="1"/>
  <c r="S27" i="8"/>
  <c r="I28" i="7"/>
  <c r="S27" i="7"/>
  <c r="K19" i="7"/>
  <c r="S19" i="7"/>
  <c r="V19" i="7" s="1"/>
  <c r="P19" i="7"/>
  <c r="P20" i="7" s="1"/>
  <c r="P21" i="7" s="1"/>
  <c r="P22" i="7" s="1"/>
  <c r="P23" i="7" s="1"/>
  <c r="P24" i="7" s="1"/>
  <c r="P25" i="7" s="1"/>
  <c r="P26" i="7" s="1"/>
  <c r="P27" i="7" s="1"/>
  <c r="P28" i="7" s="1"/>
  <c r="AG18" i="7"/>
  <c r="AE43" i="7"/>
  <c r="AI42" i="7"/>
  <c r="D21" i="7"/>
  <c r="G21" i="7" s="1"/>
  <c r="F20" i="7"/>
  <c r="H20" i="7" s="1"/>
  <c r="F17" i="1"/>
  <c r="H17" i="1" s="1"/>
  <c r="D18" i="1"/>
  <c r="G18" i="1" s="1"/>
  <c r="J20" i="8" l="1"/>
  <c r="K20" i="8" s="1"/>
  <c r="K20" i="7"/>
  <c r="Z19" i="7"/>
  <c r="W19" i="7"/>
  <c r="W20" i="7"/>
  <c r="E21" i="8"/>
  <c r="D22" i="8" s="1"/>
  <c r="G22" i="8" s="1"/>
  <c r="O29" i="7"/>
  <c r="I28" i="8"/>
  <c r="P28" i="8" s="1"/>
  <c r="U20" i="8"/>
  <c r="T21" i="8" s="1"/>
  <c r="W20" i="8"/>
  <c r="AF19" i="7"/>
  <c r="AI43" i="7"/>
  <c r="AE44" i="7"/>
  <c r="V20" i="7"/>
  <c r="I29" i="7"/>
  <c r="I29" i="8" s="1"/>
  <c r="S28" i="7"/>
  <c r="E21" i="7"/>
  <c r="U19" i="7"/>
  <c r="T20" i="7" s="1"/>
  <c r="U20" i="7" s="1"/>
  <c r="T21" i="7" s="1"/>
  <c r="E18" i="1"/>
  <c r="T17" i="1"/>
  <c r="U17" i="1"/>
  <c r="S17" i="1"/>
  <c r="R18" i="1" s="1"/>
  <c r="AB19" i="7" l="1"/>
  <c r="Z20" i="7"/>
  <c r="AB20" i="7" s="1"/>
  <c r="AF20" i="7"/>
  <c r="AG20" i="7" s="1"/>
  <c r="F21" i="8"/>
  <c r="H21" i="8" s="1"/>
  <c r="U21" i="8" s="1"/>
  <c r="T22" i="8" s="1"/>
  <c r="O29" i="8"/>
  <c r="O30" i="8" s="1"/>
  <c r="S28" i="8"/>
  <c r="P29" i="8"/>
  <c r="S29" i="8"/>
  <c r="E22" i="8"/>
  <c r="S29" i="7"/>
  <c r="I30" i="7"/>
  <c r="I30" i="8" s="1"/>
  <c r="AG19" i="7"/>
  <c r="P29" i="7"/>
  <c r="O30" i="7"/>
  <c r="J21" i="7"/>
  <c r="J21" i="8" s="1"/>
  <c r="K21" i="8" s="1"/>
  <c r="D22" i="7"/>
  <c r="G22" i="7" s="1"/>
  <c r="F21" i="7"/>
  <c r="H21" i="7" s="1"/>
  <c r="AE45" i="7"/>
  <c r="AI44" i="7"/>
  <c r="F18" i="1"/>
  <c r="H18" i="1" s="1"/>
  <c r="D19" i="1"/>
  <c r="G19" i="1" s="1"/>
  <c r="F22" i="8" l="1"/>
  <c r="H22" i="8" s="1"/>
  <c r="V21" i="8"/>
  <c r="S30" i="8"/>
  <c r="O31" i="8"/>
  <c r="D23" i="8"/>
  <c r="G23" i="8" s="1"/>
  <c r="W21" i="8"/>
  <c r="P30" i="8"/>
  <c r="V21" i="7"/>
  <c r="U21" i="7"/>
  <c r="T22" i="7" s="1"/>
  <c r="K21" i="7"/>
  <c r="Z21" i="7" s="1"/>
  <c r="AB21" i="7" s="1"/>
  <c r="E22" i="7"/>
  <c r="I31" i="7"/>
  <c r="I31" i="8" s="1"/>
  <c r="S30" i="7"/>
  <c r="O31" i="7"/>
  <c r="P30" i="7"/>
  <c r="AE46" i="7"/>
  <c r="AI46" i="7" s="1"/>
  <c r="AI45" i="7"/>
  <c r="S18" i="1"/>
  <c r="R19" i="1" s="1"/>
  <c r="U18" i="1"/>
  <c r="T18" i="1"/>
  <c r="E19" i="1"/>
  <c r="W21" i="7" l="1"/>
  <c r="O32" i="7"/>
  <c r="P31" i="7"/>
  <c r="S31" i="8"/>
  <c r="P31" i="8"/>
  <c r="V22" i="8"/>
  <c r="U22" i="8"/>
  <c r="T23" i="8" s="1"/>
  <c r="O32" i="8"/>
  <c r="E23" i="8"/>
  <c r="AI47" i="7"/>
  <c r="AF21" i="7"/>
  <c r="S31" i="7"/>
  <c r="I32" i="7"/>
  <c r="I32" i="8" s="1"/>
  <c r="D23" i="7"/>
  <c r="G23" i="7" s="1"/>
  <c r="J22" i="7"/>
  <c r="J22" i="8" s="1"/>
  <c r="K22" i="8" s="1"/>
  <c r="F22" i="7"/>
  <c r="H22" i="7" s="1"/>
  <c r="F19" i="1"/>
  <c r="H19" i="1" s="1"/>
  <c r="D20" i="1"/>
  <c r="G20" i="1" s="1"/>
  <c r="F23" i="8" l="1"/>
  <c r="H23" i="8" s="1"/>
  <c r="O33" i="7"/>
  <c r="P32" i="8"/>
  <c r="P32" i="7"/>
  <c r="O33" i="8"/>
  <c r="D24" i="8"/>
  <c r="G24" i="8" s="1"/>
  <c r="W22" i="8"/>
  <c r="S32" i="8"/>
  <c r="V22" i="7"/>
  <c r="U22" i="7"/>
  <c r="T23" i="7" s="1"/>
  <c r="K22" i="7"/>
  <c r="Z22" i="7" s="1"/>
  <c r="E23" i="7"/>
  <c r="AG21" i="7"/>
  <c r="I33" i="7"/>
  <c r="I33" i="8" s="1"/>
  <c r="S32" i="7"/>
  <c r="T19" i="1"/>
  <c r="S19" i="1"/>
  <c r="R20" i="1" s="1"/>
  <c r="U19" i="1"/>
  <c r="E20" i="1"/>
  <c r="AB22" i="7" l="1"/>
  <c r="W22" i="7"/>
  <c r="P33" i="7"/>
  <c r="E24" i="8"/>
  <c r="U23" i="8"/>
  <c r="T24" i="8" s="1"/>
  <c r="V23" i="8"/>
  <c r="S33" i="8"/>
  <c r="P33" i="8"/>
  <c r="O34" i="8"/>
  <c r="D24" i="7"/>
  <c r="G24" i="7" s="1"/>
  <c r="J23" i="7"/>
  <c r="J23" i="8" s="1"/>
  <c r="K23" i="8" s="1"/>
  <c r="W23" i="8" s="1"/>
  <c r="F23" i="7"/>
  <c r="H23" i="7" s="1"/>
  <c r="I34" i="7"/>
  <c r="I34" i="8" s="1"/>
  <c r="S33" i="7"/>
  <c r="AF22" i="7"/>
  <c r="O34" i="7"/>
  <c r="D21" i="1"/>
  <c r="G21" i="1" s="1"/>
  <c r="F20" i="1"/>
  <c r="H20" i="1" s="1"/>
  <c r="E21" i="1"/>
  <c r="F24" i="8" l="1"/>
  <c r="H24" i="8" s="1"/>
  <c r="U24" i="8" s="1"/>
  <c r="T25" i="8" s="1"/>
  <c r="D25" i="8"/>
  <c r="G25" i="8" s="1"/>
  <c r="V24" i="8"/>
  <c r="S34" i="8"/>
  <c r="P34" i="8"/>
  <c r="O35" i="8"/>
  <c r="I35" i="7"/>
  <c r="I35" i="8" s="1"/>
  <c r="S34" i="7"/>
  <c r="P34" i="7"/>
  <c r="O35" i="7"/>
  <c r="V23" i="7"/>
  <c r="U23" i="7"/>
  <c r="T24" i="7" s="1"/>
  <c r="K23" i="7"/>
  <c r="Z23" i="7" s="1"/>
  <c r="AB23" i="7" s="1"/>
  <c r="AG22" i="7"/>
  <c r="E24" i="7"/>
  <c r="F21" i="1"/>
  <c r="H21" i="1" s="1"/>
  <c r="D22" i="1"/>
  <c r="G22" i="1" s="1"/>
  <c r="U20" i="1"/>
  <c r="T20" i="1"/>
  <c r="S20" i="1"/>
  <c r="R21" i="1" s="1"/>
  <c r="W23" i="7" l="1"/>
  <c r="O36" i="8"/>
  <c r="E25" i="8"/>
  <c r="S35" i="8"/>
  <c r="P35" i="8"/>
  <c r="AF23" i="7"/>
  <c r="AG23" i="7" s="1"/>
  <c r="I36" i="7"/>
  <c r="I36" i="8" s="1"/>
  <c r="S35" i="7"/>
  <c r="D25" i="7"/>
  <c r="G25" i="7" s="1"/>
  <c r="J24" i="7"/>
  <c r="J24" i="8" s="1"/>
  <c r="K24" i="8" s="1"/>
  <c r="F24" i="7"/>
  <c r="H24" i="7" s="1"/>
  <c r="O36" i="7"/>
  <c r="P35" i="7"/>
  <c r="U21" i="1"/>
  <c r="T21" i="1"/>
  <c r="S21" i="1"/>
  <c r="R22" i="1" s="1"/>
  <c r="E22" i="1"/>
  <c r="F25" i="8" l="1"/>
  <c r="H25" i="8" s="1"/>
  <c r="V25" i="8" s="1"/>
  <c r="O37" i="8"/>
  <c r="D26" i="8"/>
  <c r="G26" i="8" s="1"/>
  <c r="O37" i="7"/>
  <c r="P36" i="7"/>
  <c r="W24" i="8"/>
  <c r="S36" i="8"/>
  <c r="U25" i="8"/>
  <c r="T26" i="8" s="1"/>
  <c r="P36" i="8"/>
  <c r="U24" i="7"/>
  <c r="T25" i="7" s="1"/>
  <c r="V24" i="7"/>
  <c r="K24" i="7"/>
  <c r="Z24" i="7" s="1"/>
  <c r="AB24" i="7" s="1"/>
  <c r="E25" i="7"/>
  <c r="I37" i="7"/>
  <c r="I37" i="8" s="1"/>
  <c r="S36" i="7"/>
  <c r="D23" i="1"/>
  <c r="G23" i="1" s="1"/>
  <c r="F22" i="1"/>
  <c r="H22" i="1" s="1"/>
  <c r="E23" i="1" l="1"/>
  <c r="W24" i="7"/>
  <c r="E53" i="7"/>
  <c r="L25" i="7" s="1"/>
  <c r="P37" i="8"/>
  <c r="E26" i="8"/>
  <c r="S37" i="8"/>
  <c r="O38" i="8"/>
  <c r="S37" i="7"/>
  <c r="I38" i="7"/>
  <c r="I38" i="8" s="1"/>
  <c r="O38" i="7"/>
  <c r="P37" i="7"/>
  <c r="J25" i="7"/>
  <c r="D26" i="7"/>
  <c r="G26" i="7" s="1"/>
  <c r="F25" i="7"/>
  <c r="H25" i="7" s="1"/>
  <c r="AF24" i="7"/>
  <c r="AG24" i="7" s="1"/>
  <c r="D24" i="1"/>
  <c r="G24" i="1" s="1"/>
  <c r="F23" i="1"/>
  <c r="H23" i="1" s="1"/>
  <c r="U22" i="1"/>
  <c r="T22" i="1"/>
  <c r="S22" i="1"/>
  <c r="R23" i="1" s="1"/>
  <c r="L24" i="7" l="1"/>
  <c r="M24" i="7" s="1"/>
  <c r="E53" i="8"/>
  <c r="L17" i="7"/>
  <c r="L18" i="7"/>
  <c r="M18" i="7" s="1"/>
  <c r="L19" i="7"/>
  <c r="M19" i="7" s="1"/>
  <c r="L20" i="7"/>
  <c r="M20" i="7" s="1"/>
  <c r="L21" i="7"/>
  <c r="M21" i="7" s="1"/>
  <c r="L22" i="7"/>
  <c r="M22" i="7" s="1"/>
  <c r="L23" i="7"/>
  <c r="M23" i="7" s="1"/>
  <c r="F26" i="8"/>
  <c r="H26" i="8" s="1"/>
  <c r="V26" i="8" s="1"/>
  <c r="L26" i="8"/>
  <c r="D27" i="8"/>
  <c r="G27" i="8" s="1"/>
  <c r="K25" i="7"/>
  <c r="Z25" i="7" s="1"/>
  <c r="AB25" i="7" s="1"/>
  <c r="J25" i="8"/>
  <c r="K25" i="8" s="1"/>
  <c r="S38" i="8"/>
  <c r="P38" i="8"/>
  <c r="O39" i="8"/>
  <c r="E26" i="7"/>
  <c r="L26" i="7" s="1"/>
  <c r="P38" i="7"/>
  <c r="O39" i="7"/>
  <c r="I39" i="7"/>
  <c r="I39" i="8" s="1"/>
  <c r="S38" i="7"/>
  <c r="U25" i="7"/>
  <c r="T26" i="7" s="1"/>
  <c r="V25" i="7"/>
  <c r="T23" i="1"/>
  <c r="S23" i="1"/>
  <c r="R24" i="1" s="1"/>
  <c r="U23" i="1"/>
  <c r="E24" i="1"/>
  <c r="M17" i="7" l="1"/>
  <c r="W25" i="7"/>
  <c r="L17" i="8"/>
  <c r="M17" i="8" s="1"/>
  <c r="L18" i="8"/>
  <c r="M18" i="8" s="1"/>
  <c r="L19" i="8"/>
  <c r="M19" i="8" s="1"/>
  <c r="L20" i="8"/>
  <c r="M20" i="8" s="1"/>
  <c r="L21" i="8"/>
  <c r="M21" i="8" s="1"/>
  <c r="L22" i="8"/>
  <c r="M22" i="8" s="1"/>
  <c r="L23" i="8"/>
  <c r="M23" i="8" s="1"/>
  <c r="L24" i="8"/>
  <c r="M24" i="8" s="1"/>
  <c r="L25" i="8"/>
  <c r="M25" i="8" s="1"/>
  <c r="U26" i="8"/>
  <c r="T27" i="8" s="1"/>
  <c r="AF25" i="7"/>
  <c r="AG25" i="7" s="1"/>
  <c r="M25" i="7"/>
  <c r="E27" i="8"/>
  <c r="O40" i="7"/>
  <c r="W25" i="8"/>
  <c r="S39" i="8"/>
  <c r="P39" i="8"/>
  <c r="O40" i="8"/>
  <c r="D27" i="7"/>
  <c r="G27" i="7" s="1"/>
  <c r="J26" i="7"/>
  <c r="F26" i="7"/>
  <c r="H26" i="7" s="1"/>
  <c r="S39" i="7"/>
  <c r="I40" i="7"/>
  <c r="I40" i="8" s="1"/>
  <c r="P39" i="7"/>
  <c r="D25" i="1"/>
  <c r="G25" i="1" s="1"/>
  <c r="F24" i="1"/>
  <c r="H24" i="1" s="1"/>
  <c r="F27" i="8" l="1"/>
  <c r="H27" i="8" s="1"/>
  <c r="V27" i="8" s="1"/>
  <c r="L27" i="8"/>
  <c r="D28" i="8"/>
  <c r="G28" i="8" s="1"/>
  <c r="K26" i="7"/>
  <c r="Z26" i="7" s="1"/>
  <c r="AB26" i="7" s="1"/>
  <c r="J26" i="8"/>
  <c r="K26" i="8" s="1"/>
  <c r="M26" i="8" s="1"/>
  <c r="S40" i="8"/>
  <c r="O41" i="8"/>
  <c r="P40" i="8"/>
  <c r="I41" i="7"/>
  <c r="I41" i="8" s="1"/>
  <c r="S40" i="7"/>
  <c r="U26" i="7"/>
  <c r="T27" i="7" s="1"/>
  <c r="V26" i="7"/>
  <c r="E27" i="7"/>
  <c r="L27" i="7" s="1"/>
  <c r="P40" i="7"/>
  <c r="O41" i="7"/>
  <c r="U24" i="1"/>
  <c r="S24" i="1"/>
  <c r="R25" i="1" s="1"/>
  <c r="T24" i="1"/>
  <c r="E25" i="1"/>
  <c r="U27" i="8" l="1"/>
  <c r="T28" i="8" s="1"/>
  <c r="W26" i="7"/>
  <c r="M26" i="7"/>
  <c r="E28" i="8"/>
  <c r="L28" i="8" s="1"/>
  <c r="P41" i="7"/>
  <c r="AF26" i="7"/>
  <c r="AG26" i="7" s="1"/>
  <c r="W26" i="8"/>
  <c r="S41" i="8"/>
  <c r="P41" i="8"/>
  <c r="O42" i="8"/>
  <c r="D28" i="7"/>
  <c r="G28" i="7" s="1"/>
  <c r="J27" i="7"/>
  <c r="F27" i="7"/>
  <c r="H27" i="7" s="1"/>
  <c r="S41" i="7"/>
  <c r="I42" i="7"/>
  <c r="I42" i="8" s="1"/>
  <c r="O42" i="7"/>
  <c r="O43" i="7" s="1"/>
  <c r="F25" i="1"/>
  <c r="H25" i="1" s="1"/>
  <c r="D26" i="1"/>
  <c r="G26" i="1" s="1"/>
  <c r="O43" i="8" l="1"/>
  <c r="F28" i="8"/>
  <c r="H28" i="8" s="1"/>
  <c r="D29" i="8"/>
  <c r="G29" i="8" s="1"/>
  <c r="P42" i="8"/>
  <c r="P42" i="7"/>
  <c r="K27" i="7"/>
  <c r="Z27" i="7" s="1"/>
  <c r="AB27" i="7" s="1"/>
  <c r="J27" i="8"/>
  <c r="K27" i="8" s="1"/>
  <c r="M27" i="8" s="1"/>
  <c r="S42" i="8"/>
  <c r="E28" i="7"/>
  <c r="L28" i="7" s="1"/>
  <c r="I43" i="7"/>
  <c r="I43" i="8" s="1"/>
  <c r="S42" i="7"/>
  <c r="U27" i="7"/>
  <c r="T28" i="7" s="1"/>
  <c r="V27" i="7"/>
  <c r="T25" i="1"/>
  <c r="U25" i="1"/>
  <c r="S25" i="1"/>
  <c r="R26" i="1" s="1"/>
  <c r="E26" i="1"/>
  <c r="W27" i="7" l="1"/>
  <c r="O44" i="8"/>
  <c r="AF27" i="7"/>
  <c r="AG27" i="7" s="1"/>
  <c r="M27" i="7"/>
  <c r="V28" i="8"/>
  <c r="U28" i="8"/>
  <c r="T29" i="8" s="1"/>
  <c r="E29" i="8"/>
  <c r="L29" i="8" s="1"/>
  <c r="P43" i="8"/>
  <c r="W27" i="8"/>
  <c r="S43" i="8"/>
  <c r="S43" i="7"/>
  <c r="I44" i="7"/>
  <c r="I44" i="8" s="1"/>
  <c r="O44" i="7"/>
  <c r="D29" i="7"/>
  <c r="G29" i="7" s="1"/>
  <c r="J28" i="7"/>
  <c r="F28" i="7"/>
  <c r="H28" i="7" s="1"/>
  <c r="P43" i="7"/>
  <c r="F26" i="1"/>
  <c r="H26" i="1" s="1"/>
  <c r="D27" i="1"/>
  <c r="G27" i="1" s="1"/>
  <c r="O45" i="8" l="1"/>
  <c r="F29" i="8"/>
  <c r="H29" i="8" s="1"/>
  <c r="D30" i="8"/>
  <c r="G30" i="8" s="1"/>
  <c r="O45" i="7"/>
  <c r="P44" i="8"/>
  <c r="K28" i="7"/>
  <c r="Z28" i="7" s="1"/>
  <c r="AB28" i="7" s="1"/>
  <c r="J28" i="8"/>
  <c r="K28" i="8" s="1"/>
  <c r="M28" i="8" s="1"/>
  <c r="S44" i="8"/>
  <c r="V28" i="7"/>
  <c r="U28" i="7"/>
  <c r="T29" i="7" s="1"/>
  <c r="E29" i="7"/>
  <c r="L29" i="7" s="1"/>
  <c r="I45" i="7"/>
  <c r="S44" i="7"/>
  <c r="P44" i="7"/>
  <c r="S26" i="1"/>
  <c r="R27" i="1" s="1"/>
  <c r="U26" i="1"/>
  <c r="T26" i="1"/>
  <c r="E27" i="1"/>
  <c r="W28" i="7" l="1"/>
  <c r="AF28" i="7"/>
  <c r="AG28" i="7" s="1"/>
  <c r="M28" i="7"/>
  <c r="E30" i="8"/>
  <c r="L30" i="8" s="1"/>
  <c r="V29" i="8"/>
  <c r="U29" i="8"/>
  <c r="T30" i="8" s="1"/>
  <c r="O46" i="7"/>
  <c r="I45" i="8"/>
  <c r="O46" i="8" s="1"/>
  <c r="W28" i="8"/>
  <c r="I46" i="7"/>
  <c r="I46" i="8" s="1"/>
  <c r="S45" i="7"/>
  <c r="P45" i="7"/>
  <c r="P46" i="7" s="1"/>
  <c r="J29" i="7"/>
  <c r="D30" i="7"/>
  <c r="G30" i="7" s="1"/>
  <c r="F29" i="7"/>
  <c r="H29" i="7" s="1"/>
  <c r="F27" i="1"/>
  <c r="H27" i="1" s="1"/>
  <c r="D28" i="1"/>
  <c r="G28" i="1" s="1"/>
  <c r="F30" i="8" l="1"/>
  <c r="H30" i="8" s="1"/>
  <c r="D31" i="8"/>
  <c r="G31" i="8" s="1"/>
  <c r="S45" i="8"/>
  <c r="P45" i="8"/>
  <c r="P46" i="8" s="1"/>
  <c r="K29" i="7"/>
  <c r="Z29" i="7" s="1"/>
  <c r="AB29" i="7" s="1"/>
  <c r="J29" i="8"/>
  <c r="K29" i="8" s="1"/>
  <c r="M29" i="8" s="1"/>
  <c r="S46" i="8"/>
  <c r="I47" i="8"/>
  <c r="V29" i="7"/>
  <c r="U29" i="7"/>
  <c r="T30" i="7" s="1"/>
  <c r="E30" i="7"/>
  <c r="L30" i="7" s="1"/>
  <c r="S46" i="7"/>
  <c r="I47" i="7"/>
  <c r="E28" i="1"/>
  <c r="S27" i="1"/>
  <c r="R28" i="1" s="1"/>
  <c r="U27" i="1"/>
  <c r="T27" i="1"/>
  <c r="W29" i="7" l="1"/>
  <c r="AF29" i="7"/>
  <c r="AG29" i="7" s="1"/>
  <c r="M29" i="7"/>
  <c r="E31" i="8"/>
  <c r="L31" i="8" s="1"/>
  <c r="U30" i="8"/>
  <c r="T31" i="8" s="1"/>
  <c r="V30" i="8"/>
  <c r="W29" i="8"/>
  <c r="D31" i="7"/>
  <c r="G31" i="7" s="1"/>
  <c r="J30" i="7"/>
  <c r="F30" i="7"/>
  <c r="H30" i="7" s="1"/>
  <c r="F28" i="1"/>
  <c r="H28" i="1" s="1"/>
  <c r="D29" i="1"/>
  <c r="G29" i="1" s="1"/>
  <c r="E31" i="7" l="1"/>
  <c r="L31" i="7" s="1"/>
  <c r="F31" i="8"/>
  <c r="H31" i="8" s="1"/>
  <c r="D32" i="8"/>
  <c r="G32" i="8" s="1"/>
  <c r="K30" i="7"/>
  <c r="Z30" i="7" s="1"/>
  <c r="AB30" i="7" s="1"/>
  <c r="J30" i="8"/>
  <c r="K30" i="8" s="1"/>
  <c r="M30" i="8" s="1"/>
  <c r="D32" i="7"/>
  <c r="G32" i="7" s="1"/>
  <c r="F31" i="7"/>
  <c r="H31" i="7" s="1"/>
  <c r="V30" i="7"/>
  <c r="U30" i="7"/>
  <c r="T31" i="7" s="1"/>
  <c r="E29" i="1"/>
  <c r="S28" i="1"/>
  <c r="R29" i="1" s="1"/>
  <c r="U28" i="1"/>
  <c r="T28" i="1"/>
  <c r="J31" i="7" l="1"/>
  <c r="K31" i="7" s="1"/>
  <c r="W30" i="7"/>
  <c r="M30" i="7"/>
  <c r="E32" i="8"/>
  <c r="L32" i="8" s="1"/>
  <c r="U31" i="8"/>
  <c r="T32" i="8" s="1"/>
  <c r="V31" i="8"/>
  <c r="AF30" i="7"/>
  <c r="AG30" i="7" s="1"/>
  <c r="W30" i="8"/>
  <c r="J31" i="8"/>
  <c r="K31" i="8" s="1"/>
  <c r="M31" i="8" s="1"/>
  <c r="V31" i="7"/>
  <c r="U31" i="7"/>
  <c r="T32" i="7" s="1"/>
  <c r="E32" i="7"/>
  <c r="L32" i="7" s="1"/>
  <c r="F29" i="1"/>
  <c r="H29" i="1" s="1"/>
  <c r="D30" i="1"/>
  <c r="G30" i="1" s="1"/>
  <c r="Z31" i="7" l="1"/>
  <c r="AB31" i="7" s="1"/>
  <c r="W31" i="7"/>
  <c r="M31" i="7"/>
  <c r="F32" i="8"/>
  <c r="H32" i="8" s="1"/>
  <c r="D33" i="8"/>
  <c r="G33" i="8" s="1"/>
  <c r="AF31" i="7"/>
  <c r="AG31" i="7" s="1"/>
  <c r="W31" i="8"/>
  <c r="D33" i="7"/>
  <c r="G33" i="7" s="1"/>
  <c r="J32" i="7"/>
  <c r="F32" i="7"/>
  <c r="H32" i="7" s="1"/>
  <c r="E30" i="1"/>
  <c r="S29" i="1"/>
  <c r="R30" i="1" s="1"/>
  <c r="U29" i="1"/>
  <c r="T29" i="1"/>
  <c r="E33" i="8" l="1"/>
  <c r="L33" i="8" s="1"/>
  <c r="U32" i="8"/>
  <c r="T33" i="8" s="1"/>
  <c r="V32" i="8"/>
  <c r="K32" i="7"/>
  <c r="Z32" i="7" s="1"/>
  <c r="AB32" i="7" s="1"/>
  <c r="J32" i="8"/>
  <c r="K32" i="8" s="1"/>
  <c r="M32" i="8" s="1"/>
  <c r="V32" i="7"/>
  <c r="U32" i="7"/>
  <c r="T33" i="7" s="1"/>
  <c r="E33" i="7"/>
  <c r="L33" i="7" s="1"/>
  <c r="F30" i="1"/>
  <c r="H30" i="1" s="1"/>
  <c r="D31" i="1"/>
  <c r="G31" i="1" s="1"/>
  <c r="W32" i="7" l="1"/>
  <c r="AF32" i="7"/>
  <c r="AG32" i="7" s="1"/>
  <c r="M32" i="7"/>
  <c r="F33" i="8"/>
  <c r="H33" i="8" s="1"/>
  <c r="D34" i="8"/>
  <c r="G34" i="8" s="1"/>
  <c r="W32" i="8"/>
  <c r="J33" i="7"/>
  <c r="D34" i="7"/>
  <c r="G34" i="7" s="1"/>
  <c r="F33" i="7"/>
  <c r="H33" i="7" s="1"/>
  <c r="E31" i="1"/>
  <c r="S30" i="1"/>
  <c r="R31" i="1" s="1"/>
  <c r="U30" i="1"/>
  <c r="T30" i="1"/>
  <c r="E34" i="8" l="1"/>
  <c r="L34" i="8" s="1"/>
  <c r="U33" i="8"/>
  <c r="T34" i="8" s="1"/>
  <c r="V33" i="8"/>
  <c r="K33" i="7"/>
  <c r="Z33" i="7" s="1"/>
  <c r="AB33" i="7" s="1"/>
  <c r="J33" i="8"/>
  <c r="K33" i="8" s="1"/>
  <c r="M33" i="8" s="1"/>
  <c r="U33" i="7"/>
  <c r="T34" i="7" s="1"/>
  <c r="V33" i="7"/>
  <c r="E34" i="7"/>
  <c r="L34" i="7" s="1"/>
  <c r="F31" i="1"/>
  <c r="H31" i="1" s="1"/>
  <c r="D32" i="1"/>
  <c r="G32" i="1" s="1"/>
  <c r="W33" i="7" l="1"/>
  <c r="AF33" i="7"/>
  <c r="AG33" i="7" s="1"/>
  <c r="M33" i="7"/>
  <c r="F34" i="8"/>
  <c r="H34" i="8" s="1"/>
  <c r="D35" i="8"/>
  <c r="G35" i="8" s="1"/>
  <c r="W33" i="8"/>
  <c r="D35" i="7"/>
  <c r="G35" i="7" s="1"/>
  <c r="J34" i="7"/>
  <c r="F34" i="7"/>
  <c r="H34" i="7" s="1"/>
  <c r="E32" i="1"/>
  <c r="S31" i="1"/>
  <c r="R32" i="1" s="1"/>
  <c r="U31" i="1"/>
  <c r="T31" i="1"/>
  <c r="E35" i="7" l="1"/>
  <c r="L35" i="7" s="1"/>
  <c r="E35" i="8"/>
  <c r="L35" i="8" s="1"/>
  <c r="V34" i="8"/>
  <c r="U34" i="8"/>
  <c r="T35" i="8" s="1"/>
  <c r="K34" i="7"/>
  <c r="Z34" i="7" s="1"/>
  <c r="AB34" i="7" s="1"/>
  <c r="J34" i="8"/>
  <c r="K34" i="8" s="1"/>
  <c r="M34" i="8" s="1"/>
  <c r="U34" i="7"/>
  <c r="T35" i="7" s="1"/>
  <c r="V34" i="7"/>
  <c r="D36" i="7"/>
  <c r="G36" i="7" s="1"/>
  <c r="J35" i="7"/>
  <c r="F32" i="1"/>
  <c r="H32" i="1" s="1"/>
  <c r="D33" i="1"/>
  <c r="G33" i="1" s="1"/>
  <c r="F35" i="7" l="1"/>
  <c r="H35" i="7" s="1"/>
  <c r="W34" i="7"/>
  <c r="M34" i="7"/>
  <c r="F35" i="8"/>
  <c r="H35" i="8" s="1"/>
  <c r="D36" i="8"/>
  <c r="G36" i="8" s="1"/>
  <c r="AF34" i="7"/>
  <c r="AG34" i="7" s="1"/>
  <c r="W34" i="8"/>
  <c r="K35" i="7"/>
  <c r="Z35" i="7" s="1"/>
  <c r="AB35" i="7" s="1"/>
  <c r="J35" i="8"/>
  <c r="K35" i="8" s="1"/>
  <c r="M35" i="8" s="1"/>
  <c r="E36" i="7"/>
  <c r="L36" i="7" s="1"/>
  <c r="V35" i="7"/>
  <c r="U35" i="7"/>
  <c r="T36" i="7" s="1"/>
  <c r="E33" i="1"/>
  <c r="S32" i="1"/>
  <c r="R33" i="1" s="1"/>
  <c r="U32" i="1"/>
  <c r="T32" i="1"/>
  <c r="W35" i="7" l="1"/>
  <c r="M35" i="7"/>
  <c r="E36" i="8"/>
  <c r="L36" i="8" s="1"/>
  <c r="V35" i="8"/>
  <c r="U35" i="8"/>
  <c r="T36" i="8" s="1"/>
  <c r="AF35" i="7"/>
  <c r="AG35" i="7" s="1"/>
  <c r="W35" i="8"/>
  <c r="D37" i="7"/>
  <c r="G37" i="7" s="1"/>
  <c r="J36" i="7"/>
  <c r="F36" i="7"/>
  <c r="H36" i="7" s="1"/>
  <c r="F33" i="1"/>
  <c r="H33" i="1" s="1"/>
  <c r="D34" i="1"/>
  <c r="G34" i="1" s="1"/>
  <c r="E37" i="7" l="1"/>
  <c r="L37" i="7" s="1"/>
  <c r="F36" i="8"/>
  <c r="H36" i="8" s="1"/>
  <c r="D37" i="8"/>
  <c r="G37" i="8" s="1"/>
  <c r="K36" i="7"/>
  <c r="Z36" i="7" s="1"/>
  <c r="AB36" i="7" s="1"/>
  <c r="J36" i="8"/>
  <c r="K36" i="8" s="1"/>
  <c r="M36" i="8" s="1"/>
  <c r="V36" i="7"/>
  <c r="U36" i="7"/>
  <c r="T37" i="7" s="1"/>
  <c r="D38" i="7"/>
  <c r="G38" i="7" s="1"/>
  <c r="J37" i="7"/>
  <c r="E34" i="1"/>
  <c r="S33" i="1"/>
  <c r="R34" i="1" s="1"/>
  <c r="U33" i="1"/>
  <c r="T33" i="1"/>
  <c r="F37" i="7" l="1"/>
  <c r="H37" i="7" s="1"/>
  <c r="W36" i="7"/>
  <c r="M36" i="7"/>
  <c r="E37" i="8"/>
  <c r="L37" i="8" s="1"/>
  <c r="U36" i="8"/>
  <c r="T37" i="8" s="1"/>
  <c r="V36" i="8"/>
  <c r="AF36" i="7"/>
  <c r="AG36" i="7" s="1"/>
  <c r="W36" i="8"/>
  <c r="K37" i="7"/>
  <c r="Z37" i="7" s="1"/>
  <c r="AB37" i="7" s="1"/>
  <c r="J37" i="8"/>
  <c r="K37" i="8" s="1"/>
  <c r="E38" i="7"/>
  <c r="L38" i="7" s="1"/>
  <c r="V37" i="7"/>
  <c r="U37" i="7"/>
  <c r="T38" i="7" s="1"/>
  <c r="F34" i="1"/>
  <c r="H34" i="1" s="1"/>
  <c r="D35" i="1"/>
  <c r="G35" i="1" s="1"/>
  <c r="M37" i="8" l="1"/>
  <c r="W37" i="7"/>
  <c r="M37" i="7"/>
  <c r="F37" i="8"/>
  <c r="H37" i="8" s="1"/>
  <c r="W37" i="8" s="1"/>
  <c r="D38" i="8"/>
  <c r="G38" i="8" s="1"/>
  <c r="AF37" i="7"/>
  <c r="AG37" i="7" s="1"/>
  <c r="D39" i="7"/>
  <c r="G39" i="7" s="1"/>
  <c r="J38" i="7"/>
  <c r="F38" i="7"/>
  <c r="H38" i="7" s="1"/>
  <c r="E35" i="1"/>
  <c r="S34" i="1"/>
  <c r="R35" i="1" s="1"/>
  <c r="T34" i="1"/>
  <c r="U34" i="1"/>
  <c r="E39" i="7" l="1"/>
  <c r="L39" i="7" s="1"/>
  <c r="E38" i="8"/>
  <c r="L38" i="8" s="1"/>
  <c r="U37" i="8"/>
  <c r="T38" i="8" s="1"/>
  <c r="V37" i="8"/>
  <c r="K38" i="7"/>
  <c r="Z38" i="7" s="1"/>
  <c r="AB38" i="7" s="1"/>
  <c r="J38" i="8"/>
  <c r="K38" i="8" s="1"/>
  <c r="D40" i="7"/>
  <c r="G40" i="7" s="1"/>
  <c r="F39" i="7"/>
  <c r="H39" i="7" s="1"/>
  <c r="J39" i="7"/>
  <c r="V38" i="7"/>
  <c r="U38" i="7"/>
  <c r="T39" i="7" s="1"/>
  <c r="F35" i="1"/>
  <c r="H35" i="1" s="1"/>
  <c r="D36" i="1"/>
  <c r="G36" i="1" s="1"/>
  <c r="M38" i="8" l="1"/>
  <c r="W38" i="7"/>
  <c r="AF38" i="7"/>
  <c r="AG38" i="7" s="1"/>
  <c r="M38" i="7"/>
  <c r="F38" i="8"/>
  <c r="H38" i="8" s="1"/>
  <c r="W38" i="8" s="1"/>
  <c r="D39" i="8"/>
  <c r="G39" i="8" s="1"/>
  <c r="K39" i="7"/>
  <c r="Z39" i="7" s="1"/>
  <c r="AB39" i="7" s="1"/>
  <c r="J39" i="8"/>
  <c r="K39" i="8" s="1"/>
  <c r="U39" i="7"/>
  <c r="T40" i="7" s="1"/>
  <c r="V39" i="7"/>
  <c r="E40" i="7"/>
  <c r="L40" i="7" s="1"/>
  <c r="E36" i="1"/>
  <c r="S35" i="1"/>
  <c r="R36" i="1" s="1"/>
  <c r="U35" i="1"/>
  <c r="T35" i="1"/>
  <c r="W39" i="7" l="1"/>
  <c r="M39" i="7"/>
  <c r="AF39" i="7"/>
  <c r="AG39" i="7" s="1"/>
  <c r="E39" i="8"/>
  <c r="L39" i="8" s="1"/>
  <c r="M39" i="8" s="1"/>
  <c r="U38" i="8"/>
  <c r="T39" i="8" s="1"/>
  <c r="V38" i="8"/>
  <c r="D41" i="7"/>
  <c r="G41" i="7" s="1"/>
  <c r="J40" i="7"/>
  <c r="F40" i="7"/>
  <c r="H40" i="7" s="1"/>
  <c r="F36" i="1"/>
  <c r="H36" i="1" s="1"/>
  <c r="D37" i="1"/>
  <c r="G37" i="1" s="1"/>
  <c r="F39" i="8" l="1"/>
  <c r="H39" i="8" s="1"/>
  <c r="D40" i="8"/>
  <c r="G40" i="8" s="1"/>
  <c r="K40" i="7"/>
  <c r="Z40" i="7" s="1"/>
  <c r="AB40" i="7" s="1"/>
  <c r="J40" i="8"/>
  <c r="K40" i="8" s="1"/>
  <c r="U40" i="7"/>
  <c r="T41" i="7" s="1"/>
  <c r="V40" i="7"/>
  <c r="E41" i="7"/>
  <c r="L41" i="7" s="1"/>
  <c r="E37" i="1"/>
  <c r="S36" i="1"/>
  <c r="R37" i="1" s="1"/>
  <c r="U36" i="1"/>
  <c r="T36" i="1"/>
  <c r="W40" i="7" l="1"/>
  <c r="M40" i="7"/>
  <c r="U39" i="8"/>
  <c r="T40" i="8" s="1"/>
  <c r="V39" i="8"/>
  <c r="W39" i="8"/>
  <c r="E40" i="8"/>
  <c r="L40" i="8" s="1"/>
  <c r="M40" i="8" s="1"/>
  <c r="AF40" i="7"/>
  <c r="AG40" i="7" s="1"/>
  <c r="D42" i="7"/>
  <c r="G42" i="7" s="1"/>
  <c r="J41" i="7"/>
  <c r="F41" i="7"/>
  <c r="H41" i="7" s="1"/>
  <c r="F37" i="1"/>
  <c r="H37" i="1" s="1"/>
  <c r="D38" i="1"/>
  <c r="G38" i="1" s="1"/>
  <c r="F40" i="8" l="1"/>
  <c r="H40" i="8" s="1"/>
  <c r="D41" i="8"/>
  <c r="G41" i="8" s="1"/>
  <c r="K41" i="7"/>
  <c r="Z41" i="7" s="1"/>
  <c r="AB41" i="7" s="1"/>
  <c r="J41" i="8"/>
  <c r="K41" i="8" s="1"/>
  <c r="V41" i="7"/>
  <c r="U41" i="7"/>
  <c r="T42" i="7" s="1"/>
  <c r="E42" i="7"/>
  <c r="L42" i="7" s="1"/>
  <c r="E38" i="1"/>
  <c r="S37" i="1"/>
  <c r="R38" i="1" s="1"/>
  <c r="U37" i="1"/>
  <c r="T37" i="1"/>
  <c r="W41" i="7" l="1"/>
  <c r="M41" i="7"/>
  <c r="E41" i="8"/>
  <c r="L41" i="8" s="1"/>
  <c r="M41" i="8" s="1"/>
  <c r="U40" i="8"/>
  <c r="T41" i="8" s="1"/>
  <c r="V40" i="8"/>
  <c r="W40" i="8"/>
  <c r="AF41" i="7"/>
  <c r="AG41" i="7" s="1"/>
  <c r="D43" i="7"/>
  <c r="G43" i="7" s="1"/>
  <c r="J42" i="7"/>
  <c r="F42" i="7"/>
  <c r="H42" i="7" s="1"/>
  <c r="F38" i="1"/>
  <c r="H38" i="1" s="1"/>
  <c r="D39" i="1"/>
  <c r="G39" i="1" s="1"/>
  <c r="E43" i="7" l="1"/>
  <c r="L43" i="7" s="1"/>
  <c r="F41" i="8"/>
  <c r="H41" i="8" s="1"/>
  <c r="D42" i="8"/>
  <c r="G42" i="8" s="1"/>
  <c r="K42" i="7"/>
  <c r="Z42" i="7" s="1"/>
  <c r="AB42" i="7" s="1"/>
  <c r="J42" i="8"/>
  <c r="K42" i="8" s="1"/>
  <c r="V42" i="7"/>
  <c r="U42" i="7"/>
  <c r="T43" i="7" s="1"/>
  <c r="J43" i="7"/>
  <c r="F43" i="7"/>
  <c r="H43" i="7" s="1"/>
  <c r="E39" i="1"/>
  <c r="S38" i="1"/>
  <c r="R39" i="1" s="1"/>
  <c r="T38" i="1"/>
  <c r="U38" i="1"/>
  <c r="D44" i="7" l="1"/>
  <c r="G44" i="7" s="1"/>
  <c r="W42" i="7"/>
  <c r="M42" i="7"/>
  <c r="E42" i="8"/>
  <c r="L42" i="8" s="1"/>
  <c r="M42" i="8" s="1"/>
  <c r="V41" i="8"/>
  <c r="U41" i="8"/>
  <c r="T42" i="8" s="1"/>
  <c r="W41" i="8"/>
  <c r="K43" i="7"/>
  <c r="Z43" i="7" s="1"/>
  <c r="AB43" i="7" s="1"/>
  <c r="J43" i="8"/>
  <c r="AF42" i="7"/>
  <c r="AG42" i="7" s="1"/>
  <c r="U43" i="7"/>
  <c r="T44" i="7" s="1"/>
  <c r="V43" i="7"/>
  <c r="F39" i="1"/>
  <c r="H39" i="1" s="1"/>
  <c r="D40" i="1"/>
  <c r="G40" i="1" s="1"/>
  <c r="E44" i="7" l="1"/>
  <c r="L44" i="7" s="1"/>
  <c r="W43" i="7"/>
  <c r="M43" i="7"/>
  <c r="F42" i="8"/>
  <c r="H42" i="8" s="1"/>
  <c r="D43" i="8"/>
  <c r="G43" i="8" s="1"/>
  <c r="AF43" i="7"/>
  <c r="AG43" i="7" s="1"/>
  <c r="K43" i="8"/>
  <c r="F44" i="7"/>
  <c r="H44" i="7" s="1"/>
  <c r="D45" i="7"/>
  <c r="G45" i="7" s="1"/>
  <c r="E40" i="1"/>
  <c r="S39" i="1"/>
  <c r="R40" i="1" s="1"/>
  <c r="U39" i="1"/>
  <c r="T39" i="1"/>
  <c r="J44" i="7" l="1"/>
  <c r="J44" i="8" s="1"/>
  <c r="E43" i="8"/>
  <c r="L43" i="8" s="1"/>
  <c r="M43" i="8" s="1"/>
  <c r="V42" i="8"/>
  <c r="U42" i="8"/>
  <c r="T43" i="8" s="1"/>
  <c r="W42" i="8"/>
  <c r="K44" i="7"/>
  <c r="Z44" i="7" s="1"/>
  <c r="AB44" i="7" s="1"/>
  <c r="V44" i="7"/>
  <c r="U44" i="7"/>
  <c r="T45" i="7" s="1"/>
  <c r="E45" i="7"/>
  <c r="L45" i="7" s="1"/>
  <c r="F40" i="1"/>
  <c r="H40" i="1" s="1"/>
  <c r="D41" i="1"/>
  <c r="G41" i="1" s="1"/>
  <c r="W44" i="7" l="1"/>
  <c r="M44" i="7"/>
  <c r="F43" i="8"/>
  <c r="H43" i="8" s="1"/>
  <c r="D44" i="8"/>
  <c r="G44" i="8" s="1"/>
  <c r="AF44" i="7"/>
  <c r="AG44" i="7" s="1"/>
  <c r="K44" i="8"/>
  <c r="J45" i="7"/>
  <c r="F45" i="7"/>
  <c r="H45" i="7" s="1"/>
  <c r="D46" i="7"/>
  <c r="G46" i="7" s="1"/>
  <c r="E41" i="1"/>
  <c r="S40" i="1"/>
  <c r="R41" i="1" s="1"/>
  <c r="U40" i="1"/>
  <c r="T40" i="1"/>
  <c r="E44" i="8" l="1"/>
  <c r="L44" i="8" s="1"/>
  <c r="M44" i="8" s="1"/>
  <c r="U43" i="8"/>
  <c r="T44" i="8" s="1"/>
  <c r="V43" i="8"/>
  <c r="W43" i="8"/>
  <c r="K45" i="7"/>
  <c r="Z45" i="7" s="1"/>
  <c r="AB45" i="7" s="1"/>
  <c r="J45" i="8"/>
  <c r="U45" i="7"/>
  <c r="T46" i="7" s="1"/>
  <c r="V45" i="7"/>
  <c r="E46" i="7"/>
  <c r="L46" i="7" s="1"/>
  <c r="L47" i="7" s="1"/>
  <c r="F41" i="1"/>
  <c r="H41" i="1" s="1"/>
  <c r="D42" i="1"/>
  <c r="G42" i="1" s="1"/>
  <c r="E42" i="1" l="1"/>
  <c r="W45" i="7"/>
  <c r="AF45" i="7"/>
  <c r="AG45" i="7" s="1"/>
  <c r="M45" i="7"/>
  <c r="D45" i="8"/>
  <c r="G45" i="8" s="1"/>
  <c r="F44" i="8"/>
  <c r="H44" i="8" s="1"/>
  <c r="K45" i="8"/>
  <c r="J46" i="7"/>
  <c r="J46" i="8" s="1"/>
  <c r="K46" i="8" s="1"/>
  <c r="F46" i="7"/>
  <c r="H46" i="7" s="1"/>
  <c r="F42" i="1"/>
  <c r="H42" i="1" s="1"/>
  <c r="D43" i="1"/>
  <c r="G43" i="1" s="1"/>
  <c r="S41" i="1"/>
  <c r="R42" i="1" s="1"/>
  <c r="T41" i="1"/>
  <c r="U41" i="1"/>
  <c r="E45" i="8" l="1"/>
  <c r="L45" i="8" s="1"/>
  <c r="M45" i="8" s="1"/>
  <c r="V44" i="8"/>
  <c r="U44" i="8"/>
  <c r="T45" i="8" s="1"/>
  <c r="W44" i="8"/>
  <c r="J47" i="8"/>
  <c r="K47" i="8"/>
  <c r="K49" i="8" s="1"/>
  <c r="U46" i="7"/>
  <c r="V46" i="7"/>
  <c r="J47" i="7"/>
  <c r="K46" i="7"/>
  <c r="Z46" i="7" s="1"/>
  <c r="E43" i="1"/>
  <c r="S42" i="1"/>
  <c r="R43" i="1" s="1"/>
  <c r="T42" i="1"/>
  <c r="U42" i="1"/>
  <c r="AB46" i="7" l="1"/>
  <c r="AB48" i="7" s="1"/>
  <c r="Z48" i="7"/>
  <c r="W46" i="7"/>
  <c r="M46" i="7"/>
  <c r="M47" i="7" s="1"/>
  <c r="D46" i="8"/>
  <c r="G46" i="8" s="1"/>
  <c r="F45" i="8"/>
  <c r="H45" i="8" s="1"/>
  <c r="AF46" i="7"/>
  <c r="K47" i="7"/>
  <c r="K49" i="7" s="1"/>
  <c r="F43" i="1"/>
  <c r="H43" i="1" s="1"/>
  <c r="D44" i="1"/>
  <c r="G44" i="1" s="1"/>
  <c r="E46" i="8" l="1"/>
  <c r="V45" i="8"/>
  <c r="U45" i="8"/>
  <c r="T46" i="8" s="1"/>
  <c r="W45" i="8"/>
  <c r="AG46" i="7"/>
  <c r="AG47" i="7" s="1"/>
  <c r="AG49" i="7" s="1"/>
  <c r="AF47" i="7"/>
  <c r="E44" i="1"/>
  <c r="S43" i="1"/>
  <c r="R44" i="1" s="1"/>
  <c r="U43" i="1"/>
  <c r="T43" i="1"/>
  <c r="F46" i="8" l="1"/>
  <c r="H46" i="8" s="1"/>
  <c r="V46" i="8" s="1"/>
  <c r="L46" i="8"/>
  <c r="L47" i="8" s="1"/>
  <c r="M46" i="8" s="1"/>
  <c r="M47" i="8" s="1"/>
  <c r="U46" i="8"/>
  <c r="F44" i="1"/>
  <c r="H44" i="1" s="1"/>
  <c r="D45" i="1"/>
  <c r="G45" i="1" s="1"/>
  <c r="W46" i="8" l="1"/>
  <c r="S44" i="1"/>
  <c r="R45" i="1" s="1"/>
  <c r="U44" i="1"/>
  <c r="T44" i="1"/>
  <c r="E45" i="1"/>
  <c r="F45" i="1" l="1"/>
  <c r="H45" i="1" s="1"/>
  <c r="D46" i="1"/>
  <c r="G46" i="1" s="1"/>
  <c r="S45" i="1" l="1"/>
  <c r="R46" i="1" s="1"/>
  <c r="T45" i="1"/>
  <c r="E46" i="1"/>
  <c r="F46" i="1" s="1"/>
  <c r="H46" i="1" s="1"/>
  <c r="T46" i="1" l="1"/>
  <c r="S46" i="1"/>
</calcChain>
</file>

<file path=xl/comments1.xml><?xml version="1.0" encoding="utf-8"?>
<comments xmlns="http://schemas.openxmlformats.org/spreadsheetml/2006/main">
  <authors>
    <author>John Cook</author>
  </authors>
  <commentList>
    <comment ref="AA4" authorId="0" shapeId="0">
      <text>
        <r>
          <rPr>
            <b/>
            <sz val="9"/>
            <color indexed="81"/>
            <rFont val="Tahoma"/>
            <family val="2"/>
          </rPr>
          <t>John Cook:</t>
        </r>
        <r>
          <rPr>
            <sz val="9"/>
            <color indexed="81"/>
            <rFont val="Tahoma"/>
            <family val="2"/>
          </rPr>
          <t xml:space="preserve">
December 5, 2014 teleconference cost for the Treatment Plant + $20,000/yr for the collection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John Cook:</t>
        </r>
        <r>
          <rPr>
            <sz val="9"/>
            <color indexed="81"/>
            <rFont val="Tahoma"/>
            <family val="2"/>
          </rPr>
          <t xml:space="preserve">
From 12/23/14 Letter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</rPr>
          <t>John Cook:</t>
        </r>
        <r>
          <rPr>
            <sz val="9"/>
            <color indexed="81"/>
            <rFont val="Tahoma"/>
            <family val="2"/>
          </rPr>
          <t xml:space="preserve">
Increase to O&amp;M based on percentage ownership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John Cook:</t>
        </r>
        <r>
          <rPr>
            <sz val="9"/>
            <color indexed="81"/>
            <rFont val="Tahoma"/>
            <family val="2"/>
          </rPr>
          <t xml:space="preserve">
May be possible to waive on a bond refinance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John Cook:</t>
        </r>
        <r>
          <rPr>
            <sz val="9"/>
            <color indexed="81"/>
            <rFont val="Tahoma"/>
            <family val="2"/>
          </rPr>
          <t xml:space="preserve">
From 12/23/14 letter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John Cook:</t>
        </r>
        <r>
          <rPr>
            <sz val="9"/>
            <color indexed="81"/>
            <rFont val="Tahoma"/>
            <family val="2"/>
          </rPr>
          <t xml:space="preserve">
approximate (theoretical) 0.5% interest payment</t>
        </r>
      </text>
    </comment>
  </commentList>
</comments>
</file>

<file path=xl/comments2.xml><?xml version="1.0" encoding="utf-8"?>
<comments xmlns="http://schemas.openxmlformats.org/spreadsheetml/2006/main">
  <authors>
    <author>John Cook</author>
  </authors>
  <commentList>
    <comment ref="AA4" authorId="0" shapeId="0">
      <text>
        <r>
          <rPr>
            <b/>
            <sz val="9"/>
            <color indexed="81"/>
            <rFont val="Tahoma"/>
            <family val="2"/>
          </rPr>
          <t>John Cook:</t>
        </r>
        <r>
          <rPr>
            <sz val="9"/>
            <color indexed="81"/>
            <rFont val="Tahoma"/>
            <family val="2"/>
          </rPr>
          <t xml:space="preserve">
December 5, 2014 teleconference cost for the Treatment Plant + $20,000/yr for the collection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John Cook:</t>
        </r>
        <r>
          <rPr>
            <sz val="9"/>
            <color indexed="81"/>
            <rFont val="Tahoma"/>
            <family val="2"/>
          </rPr>
          <t xml:space="preserve">
From 12/23/14 Letter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</rPr>
          <t>John Cook:</t>
        </r>
        <r>
          <rPr>
            <sz val="9"/>
            <color indexed="81"/>
            <rFont val="Tahoma"/>
            <family val="2"/>
          </rPr>
          <t xml:space="preserve">
Increase to O&amp;M based on percentage ownership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John Cook:</t>
        </r>
        <r>
          <rPr>
            <sz val="9"/>
            <color indexed="81"/>
            <rFont val="Tahoma"/>
            <family val="2"/>
          </rPr>
          <t xml:space="preserve">
May be possible to waive on a bond refinance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>John Cook:</t>
        </r>
        <r>
          <rPr>
            <sz val="9"/>
            <color indexed="81"/>
            <rFont val="Tahoma"/>
            <family val="2"/>
          </rPr>
          <t xml:space="preserve">
From 12/23/14 letter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John Cook:</t>
        </r>
        <r>
          <rPr>
            <sz val="9"/>
            <color indexed="81"/>
            <rFont val="Tahoma"/>
            <family val="2"/>
          </rPr>
          <t xml:space="preserve">
approximate (theoretical) 0.5% interest payment</t>
        </r>
      </text>
    </comment>
  </commentList>
</comments>
</file>

<file path=xl/sharedStrings.xml><?xml version="1.0" encoding="utf-8"?>
<sst xmlns="http://schemas.openxmlformats.org/spreadsheetml/2006/main" count="263" uniqueCount="92">
  <si>
    <t>WQB Loan Terms</t>
  </si>
  <si>
    <t>Annual Sewer Expenses (Estimated)</t>
  </si>
  <si>
    <t>Sewer Revenue Sources (Projected)</t>
  </si>
  <si>
    <t>Funded Project Cost:</t>
  </si>
  <si>
    <t>Proposed Loan Amount:</t>
  </si>
  <si>
    <t>Beginning Cash:</t>
  </si>
  <si>
    <t>WQB Grant Amount:</t>
  </si>
  <si>
    <t>Estimated O&amp;M Cost:</t>
  </si>
  <si>
    <t>Initial Customers (ERU):</t>
  </si>
  <si>
    <t>WQB Loan Amount:</t>
  </si>
  <si>
    <t>Annual O&amp;M Cost Increase:</t>
  </si>
  <si>
    <t>Projected Growth Rate:</t>
  </si>
  <si>
    <t>Loan Term:</t>
  </si>
  <si>
    <t>Existing Debt Service:</t>
  </si>
  <si>
    <t>Willard Impact Fee:</t>
  </si>
  <si>
    <t>Interest Rate:</t>
  </si>
  <si>
    <t>Proposed Monthly User Charge:</t>
  </si>
  <si>
    <t>Average Annual Payment:</t>
  </si>
  <si>
    <t>Sewer Revenue Projections</t>
  </si>
  <si>
    <t>Growth</t>
  </si>
  <si>
    <t>Annual</t>
  </si>
  <si>
    <t>Total</t>
  </si>
  <si>
    <t>Regular</t>
  </si>
  <si>
    <t>Additional</t>
  </si>
  <si>
    <t>Existing</t>
  </si>
  <si>
    <t>Debt</t>
  </si>
  <si>
    <t>Rate</t>
  </si>
  <si>
    <t>Users</t>
  </si>
  <si>
    <t>User Charge</t>
  </si>
  <si>
    <t>Impact Fee</t>
  </si>
  <si>
    <t>WQB Loan</t>
  </si>
  <si>
    <t>Remaining</t>
  </si>
  <si>
    <t>Loan</t>
  </si>
  <si>
    <t>Sewer Debt</t>
  </si>
  <si>
    <t>O&amp;M</t>
  </si>
  <si>
    <t xml:space="preserve">Beginning </t>
  </si>
  <si>
    <t>Ending</t>
  </si>
  <si>
    <t>Net</t>
  </si>
  <si>
    <t>Service</t>
  </si>
  <si>
    <t>Year</t>
  </si>
  <si>
    <t>(%)</t>
  </si>
  <si>
    <t>(ERU)</t>
  </si>
  <si>
    <t>Revenue</t>
  </si>
  <si>
    <t>Repayment</t>
  </si>
  <si>
    <t>Reserves</t>
  </si>
  <si>
    <t>Principal</t>
  </si>
  <si>
    <t>Prepayment*</t>
  </si>
  <si>
    <t>Expenses</t>
  </si>
  <si>
    <t>Cash</t>
  </si>
  <si>
    <t>Cash Flow</t>
  </si>
  <si>
    <t>Ratio</t>
  </si>
  <si>
    <t>Regular Debt Service =</t>
  </si>
  <si>
    <t>Early Repayments =</t>
  </si>
  <si>
    <t>*an annual prepayment of $250 is required for each ERU over 900 ERUs</t>
  </si>
  <si>
    <t>11/2014 Balance =</t>
  </si>
  <si>
    <t>Refinanced Bond Amount</t>
  </si>
  <si>
    <t>33% of Treatment Plant O&amp;M =</t>
  </si>
  <si>
    <t>Refinance Amount =</t>
  </si>
  <si>
    <t>40% of Treatment Plant O&amp;M =</t>
  </si>
  <si>
    <t>DWQ Loan Origination =</t>
  </si>
  <si>
    <t>1/3 of Collection System O&amp;M =</t>
  </si>
  <si>
    <t>Refinance Bond Amount =</t>
  </si>
  <si>
    <t>Total 2016 O&amp;M Cost =</t>
  </si>
  <si>
    <t>2013 MAGI:</t>
  </si>
  <si>
    <t>Discount Factor</t>
  </si>
  <si>
    <t>Current</t>
  </si>
  <si>
    <t>Present Value</t>
  </si>
  <si>
    <t>New Bond</t>
  </si>
  <si>
    <t>Old Bond</t>
  </si>
  <si>
    <t>Comparison</t>
  </si>
  <si>
    <t>Payment</t>
  </si>
  <si>
    <t>Present Value Loss on Refinance =</t>
  </si>
  <si>
    <t>Total Principal Payment:</t>
  </si>
  <si>
    <t>Original Bond Cash Flow Model (2007 dollars)</t>
  </si>
  <si>
    <t>Refinance with 0.5% principal payments for the first 3 years.  Cash Flow Model (2016 dollars)</t>
  </si>
  <si>
    <t>Monthly User Charge 1.4% MAGI:</t>
  </si>
  <si>
    <t>Proposed Monthly User Charge 1.2%:</t>
  </si>
  <si>
    <t>Base</t>
  </si>
  <si>
    <t>Total Principal Payment =</t>
  </si>
  <si>
    <t>Incremental Increase Year 1 - 10 =</t>
  </si>
  <si>
    <t>Incremental Increase Year 11 - 20 =</t>
  </si>
  <si>
    <t>Incremental Increase Year 20 - 30 =</t>
  </si>
  <si>
    <t>Amortized</t>
  </si>
  <si>
    <t>Early</t>
  </si>
  <si>
    <t>Provision</t>
  </si>
  <si>
    <t>Amoritized</t>
  </si>
  <si>
    <t>w/ Early</t>
  </si>
  <si>
    <t xml:space="preserve">When ERUSs exceed </t>
  </si>
  <si>
    <t>per ERU</t>
  </si>
  <si>
    <t xml:space="preserve">, Willard must pay an additional </t>
  </si>
  <si>
    <t>/ ERU</t>
  </si>
  <si>
    <t>Willard refinance with 0.5% principal payments for the first 3 years.  Cash Flow Model (2016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</si>
</sst>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&quot;$&quot;* #,##0.00_-;\-&quot;$&quot;* #,##0.00_-;_-&quot;$&quot;* &quot;-&quot;??_-;_-@_-"/>
    <numFmt numFmtId="167" formatCode="_-&quot;$&quot;* #,##0_-;\-&quot;$&quot;* #,##0_-;_-&quot;$&quot;* &quot;-&quot;??_-;_-@_-"/>
    <numFmt numFmtId="168" formatCode="0.0%"/>
    <numFmt numFmtId="169" formatCode="_-* #,##0.00000_-;\-* #,##0.00000_-;_-* &quot;-&quot;??_-;_-@_-"/>
    <numFmt numFmtId="170" formatCode="_(* #,##0_);_(* \(#,##0\);_(* &quot;-&quot;??_);_(@_)"/>
    <numFmt numFmtId="171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1" fontId="3" fillId="0" borderId="0" xfId="2" applyNumberFormat="1" applyFont="1" applyAlignment="1">
      <alignment horizontal="left"/>
    </xf>
    <xf numFmtId="164" fontId="3" fillId="0" borderId="0" xfId="2" applyFont="1" applyAlignment="1">
      <alignment horizontal="left"/>
    </xf>
    <xf numFmtId="164" fontId="3" fillId="0" borderId="0" xfId="2" applyFont="1"/>
    <xf numFmtId="165" fontId="4" fillId="0" borderId="0" xfId="2" applyNumberFormat="1" applyFont="1"/>
    <xf numFmtId="165" fontId="4" fillId="0" borderId="0" xfId="2" applyNumberFormat="1" applyFont="1" applyFill="1"/>
    <xf numFmtId="165" fontId="3" fillId="0" borderId="0" xfId="2" applyNumberFormat="1" applyFont="1"/>
    <xf numFmtId="164" fontId="3" fillId="0" borderId="0" xfId="2" applyNumberFormat="1" applyFont="1"/>
    <xf numFmtId="0" fontId="4" fillId="2" borderId="0" xfId="0" applyFont="1" applyFill="1" applyAlignment="1">
      <alignment horizontal="right"/>
    </xf>
    <xf numFmtId="164" fontId="4" fillId="0" borderId="0" xfId="2" applyFont="1"/>
    <xf numFmtId="165" fontId="3" fillId="0" borderId="0" xfId="2" applyNumberFormat="1" applyFont="1" applyBorder="1"/>
    <xf numFmtId="165" fontId="4" fillId="0" borderId="0" xfId="2" applyNumberFormat="1" applyFont="1" applyBorder="1"/>
    <xf numFmtId="164" fontId="4" fillId="0" borderId="0" xfId="2" applyFont="1" applyBorder="1"/>
    <xf numFmtId="1" fontId="4" fillId="0" borderId="1" xfId="2" applyNumberFormat="1" applyFont="1" applyBorder="1" applyAlignment="1">
      <alignment horizontal="left"/>
    </xf>
    <xf numFmtId="164" fontId="4" fillId="0" borderId="1" xfId="2" applyFont="1" applyBorder="1" applyAlignment="1">
      <alignment horizontal="left"/>
    </xf>
    <xf numFmtId="164" fontId="4" fillId="0" borderId="1" xfId="2" applyFont="1" applyBorder="1"/>
    <xf numFmtId="167" fontId="4" fillId="0" borderId="1" xfId="3" applyNumberFormat="1" applyFont="1" applyBorder="1" applyAlignment="1"/>
    <xf numFmtId="165" fontId="4" fillId="0" borderId="1" xfId="2" applyNumberFormat="1" applyFont="1" applyBorder="1"/>
    <xf numFmtId="167" fontId="4" fillId="0" borderId="1" xfId="3" applyNumberFormat="1" applyFont="1" applyFill="1" applyBorder="1" applyAlignment="1"/>
    <xf numFmtId="165" fontId="4" fillId="0" borderId="1" xfId="2" applyNumberFormat="1" applyFont="1" applyBorder="1" applyAlignment="1">
      <alignment horizontal="right"/>
    </xf>
    <xf numFmtId="1" fontId="4" fillId="0" borderId="0" xfId="2" applyNumberFormat="1" applyFont="1" applyAlignment="1">
      <alignment horizontal="left"/>
    </xf>
    <xf numFmtId="164" fontId="4" fillId="0" borderId="0" xfId="2" applyFont="1" applyAlignment="1">
      <alignment horizontal="left"/>
    </xf>
    <xf numFmtId="167" fontId="4" fillId="0" borderId="0" xfId="3" applyNumberFormat="1" applyFont="1" applyFill="1" applyBorder="1" applyAlignment="1"/>
    <xf numFmtId="165" fontId="4" fillId="0" borderId="0" xfId="2" applyNumberFormat="1" applyFont="1" applyBorder="1" applyAlignment="1">
      <alignment horizontal="left"/>
    </xf>
    <xf numFmtId="3" fontId="4" fillId="0" borderId="0" xfId="2" applyNumberFormat="1" applyFont="1" applyFill="1" applyBorder="1"/>
    <xf numFmtId="1" fontId="4" fillId="0" borderId="0" xfId="2" applyNumberFormat="1" applyFont="1" applyBorder="1" applyAlignment="1">
      <alignment horizontal="left"/>
    </xf>
    <xf numFmtId="167" fontId="4" fillId="3" borderId="0" xfId="3" applyNumberFormat="1" applyFont="1" applyFill="1" applyBorder="1" applyAlignment="1"/>
    <xf numFmtId="10" fontId="4" fillId="4" borderId="0" xfId="2" applyNumberFormat="1" applyFont="1" applyFill="1" applyBorder="1" applyAlignment="1"/>
    <xf numFmtId="10" fontId="4" fillId="4" borderId="0" xfId="1" applyNumberFormat="1" applyFont="1" applyFill="1" applyBorder="1"/>
    <xf numFmtId="165" fontId="4" fillId="0" borderId="0" xfId="2" applyNumberFormat="1" applyFont="1" applyBorder="1" applyAlignment="1"/>
    <xf numFmtId="164" fontId="4" fillId="0" borderId="2" xfId="2" applyFont="1" applyBorder="1"/>
    <xf numFmtId="166" fontId="4" fillId="0" borderId="2" xfId="3" applyNumberFormat="1" applyFont="1" applyBorder="1" applyAlignment="1"/>
    <xf numFmtId="167" fontId="4" fillId="5" borderId="0" xfId="3" applyNumberFormat="1" applyFont="1" applyFill="1" applyBorder="1" applyAlignment="1"/>
    <xf numFmtId="168" fontId="4" fillId="0" borderId="0" xfId="2" applyNumberFormat="1" applyFont="1" applyFill="1" applyBorder="1" applyAlignment="1"/>
    <xf numFmtId="165" fontId="4" fillId="0" borderId="2" xfId="2" applyNumberFormat="1" applyFont="1" applyBorder="1" applyAlignment="1">
      <alignment horizontal="left"/>
    </xf>
    <xf numFmtId="166" fontId="4" fillId="3" borderId="2" xfId="3" applyNumberFormat="1" applyFont="1" applyFill="1" applyBorder="1" applyAlignment="1"/>
    <xf numFmtId="1" fontId="4" fillId="0" borderId="2" xfId="2" applyNumberFormat="1" applyFont="1" applyBorder="1" applyAlignment="1">
      <alignment horizontal="left"/>
    </xf>
    <xf numFmtId="167" fontId="4" fillId="0" borderId="2" xfId="3" applyNumberFormat="1" applyFont="1" applyBorder="1" applyAlignment="1"/>
    <xf numFmtId="164" fontId="4" fillId="0" borderId="0" xfId="2" applyFont="1" applyFill="1"/>
    <xf numFmtId="164" fontId="4" fillId="0" borderId="0" xfId="2" applyNumberFormat="1" applyFont="1"/>
    <xf numFmtId="1" fontId="4" fillId="0" borderId="0" xfId="2" applyNumberFormat="1" applyFont="1"/>
    <xf numFmtId="1" fontId="3" fillId="0" borderId="0" xfId="2" applyNumberFormat="1" applyFont="1" applyBorder="1" applyAlignment="1">
      <alignment horizontal="left"/>
    </xf>
    <xf numFmtId="164" fontId="3" fillId="0" borderId="0" xfId="2" applyFont="1" applyBorder="1" applyAlignment="1">
      <alignment horizontal="left"/>
    </xf>
    <xf numFmtId="166" fontId="4" fillId="0" borderId="0" xfId="3" quotePrefix="1" applyFont="1" applyBorder="1"/>
    <xf numFmtId="1" fontId="4" fillId="0" borderId="1" xfId="2" applyNumberFormat="1" applyFont="1" applyBorder="1" applyAlignment="1">
      <alignment horizontal="right"/>
    </xf>
    <xf numFmtId="164" fontId="4" fillId="0" borderId="1" xfId="2" applyFont="1" applyBorder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0" fontId="4" fillId="0" borderId="1" xfId="4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>
      <alignment horizontal="right"/>
    </xf>
    <xf numFmtId="164" fontId="4" fillId="0" borderId="0" xfId="2" applyFont="1" applyBorder="1" applyAlignment="1">
      <alignment horizontal="left"/>
    </xf>
    <xf numFmtId="164" fontId="4" fillId="0" borderId="0" xfId="2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" fontId="4" fillId="0" borderId="2" xfId="2" applyNumberFormat="1" applyFont="1" applyBorder="1" applyAlignment="1">
      <alignment horizontal="right"/>
    </xf>
    <xf numFmtId="164" fontId="4" fillId="0" borderId="2" xfId="2" applyFont="1" applyBorder="1" applyAlignment="1">
      <alignment horizontal="left"/>
    </xf>
    <xf numFmtId="164" fontId="4" fillId="0" borderId="2" xfId="2" applyFont="1" applyBorder="1" applyAlignment="1">
      <alignment horizontal="center"/>
    </xf>
    <xf numFmtId="165" fontId="4" fillId="0" borderId="2" xfId="2" applyNumberFormat="1" applyFont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1" fontId="4" fillId="0" borderId="3" xfId="2" applyNumberFormat="1" applyFont="1" applyBorder="1" applyAlignment="1">
      <alignment horizontal="right"/>
    </xf>
    <xf numFmtId="0" fontId="4" fillId="0" borderId="3" xfId="4" applyFont="1" applyBorder="1" applyAlignment="1">
      <alignment horizontal="right"/>
    </xf>
    <xf numFmtId="168" fontId="4" fillId="0" borderId="3" xfId="1" applyNumberFormat="1" applyFont="1" applyBorder="1"/>
    <xf numFmtId="3" fontId="4" fillId="0" borderId="3" xfId="2" applyNumberFormat="1" applyFont="1" applyBorder="1" applyAlignment="1">
      <alignment horizontal="right"/>
    </xf>
    <xf numFmtId="3" fontId="4" fillId="0" borderId="3" xfId="2" applyNumberFormat="1" applyFont="1" applyBorder="1"/>
    <xf numFmtId="165" fontId="4" fillId="0" borderId="3" xfId="2" applyNumberFormat="1" applyFont="1" applyBorder="1"/>
    <xf numFmtId="165" fontId="4" fillId="0" borderId="3" xfId="2" applyNumberFormat="1" applyFont="1" applyFill="1" applyBorder="1"/>
    <xf numFmtId="164" fontId="4" fillId="0" borderId="3" xfId="2" applyNumberFormat="1" applyFont="1" applyFill="1" applyBorder="1"/>
    <xf numFmtId="1" fontId="4" fillId="0" borderId="0" xfId="2" applyNumberFormat="1" applyFont="1" applyAlignment="1">
      <alignment horizontal="right"/>
    </xf>
    <xf numFmtId="0" fontId="4" fillId="0" borderId="0" xfId="4" applyFont="1" applyBorder="1" applyAlignment="1">
      <alignment horizontal="right"/>
    </xf>
    <xf numFmtId="168" fontId="4" fillId="0" borderId="0" xfId="1" applyNumberFormat="1" applyFont="1" applyBorder="1"/>
    <xf numFmtId="3" fontId="4" fillId="0" borderId="0" xfId="2" applyNumberFormat="1" applyFont="1" applyBorder="1" applyAlignment="1">
      <alignment horizontal="right"/>
    </xf>
    <xf numFmtId="3" fontId="4" fillId="0" borderId="0" xfId="2" applyNumberFormat="1" applyFont="1" applyBorder="1"/>
    <xf numFmtId="165" fontId="4" fillId="0" borderId="0" xfId="2" applyNumberFormat="1" applyFont="1" applyFill="1" applyBorder="1"/>
    <xf numFmtId="165" fontId="4" fillId="6" borderId="0" xfId="2" applyNumberFormat="1" applyFont="1" applyFill="1" applyBorder="1"/>
    <xf numFmtId="164" fontId="4" fillId="0" borderId="0" xfId="2" applyNumberFormat="1" applyFont="1" applyFill="1" applyBorder="1"/>
    <xf numFmtId="164" fontId="4" fillId="7" borderId="0" xfId="2" applyNumberFormat="1" applyFont="1" applyFill="1" applyBorder="1"/>
    <xf numFmtId="164" fontId="4" fillId="0" borderId="0" xfId="2" applyNumberFormat="1" applyFont="1" applyBorder="1"/>
    <xf numFmtId="165" fontId="3" fillId="0" borderId="0" xfId="2" applyNumberFormat="1" applyFont="1" applyFill="1" applyBorder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4" fillId="0" borderId="4" xfId="2" applyNumberFormat="1" applyFont="1" applyBorder="1"/>
    <xf numFmtId="165" fontId="4" fillId="0" borderId="1" xfId="2" applyNumberFormat="1" applyFont="1" applyFill="1" applyBorder="1"/>
    <xf numFmtId="164" fontId="4" fillId="0" borderId="1" xfId="2" applyNumberFormat="1" applyFont="1" applyBorder="1"/>
    <xf numFmtId="0" fontId="4" fillId="0" borderId="0" xfId="4" applyFont="1"/>
    <xf numFmtId="165" fontId="4" fillId="8" borderId="5" xfId="2" applyNumberFormat="1" applyFont="1" applyFill="1" applyBorder="1"/>
    <xf numFmtId="165" fontId="4" fillId="8" borderId="3" xfId="2" applyNumberFormat="1" applyFont="1" applyFill="1" applyBorder="1" applyAlignment="1">
      <alignment horizontal="right"/>
    </xf>
    <xf numFmtId="165" fontId="4" fillId="8" borderId="6" xfId="2" applyNumberFormat="1" applyFont="1" applyFill="1" applyBorder="1"/>
    <xf numFmtId="164" fontId="4" fillId="0" borderId="0" xfId="2" applyNumberFormat="1" applyFont="1" applyFill="1"/>
    <xf numFmtId="165" fontId="4" fillId="0" borderId="0" xfId="2" applyNumberFormat="1" applyFont="1" applyAlignment="1">
      <alignment horizontal="right"/>
    </xf>
    <xf numFmtId="0" fontId="4" fillId="3" borderId="0" xfId="0" applyFont="1" applyFill="1" applyAlignment="1">
      <alignment horizontal="right"/>
    </xf>
    <xf numFmtId="169" fontId="4" fillId="0" borderId="0" xfId="2" applyNumberFormat="1" applyFont="1"/>
    <xf numFmtId="169" fontId="4" fillId="0" borderId="0" xfId="2" applyNumberFormat="1" applyFont="1" applyFill="1"/>
    <xf numFmtId="1" fontId="3" fillId="0" borderId="0" xfId="2" applyNumberFormat="1" applyFont="1" applyFill="1" applyAlignment="1">
      <alignment horizontal="left"/>
    </xf>
    <xf numFmtId="164" fontId="3" fillId="0" borderId="0" xfId="2" applyFont="1" applyFill="1" applyAlignment="1">
      <alignment horizontal="left"/>
    </xf>
    <xf numFmtId="164" fontId="3" fillId="0" borderId="0" xfId="2" applyFont="1" applyFill="1"/>
    <xf numFmtId="165" fontId="3" fillId="0" borderId="0" xfId="2" applyNumberFormat="1" applyFont="1" applyFill="1"/>
    <xf numFmtId="164" fontId="3" fillId="0" borderId="0" xfId="2" applyNumberFormat="1" applyFont="1" applyFill="1"/>
    <xf numFmtId="0" fontId="4" fillId="0" borderId="0" xfId="0" applyFont="1" applyFill="1" applyAlignment="1">
      <alignment horizontal="center"/>
    </xf>
    <xf numFmtId="164" fontId="4" fillId="0" borderId="0" xfId="2" applyFont="1" applyFill="1" applyBorder="1"/>
    <xf numFmtId="41" fontId="4" fillId="0" borderId="0" xfId="5" applyNumberFormat="1" applyFont="1" applyFill="1" applyAlignment="1">
      <alignment horizontal="left"/>
    </xf>
    <xf numFmtId="165" fontId="4" fillId="0" borderId="0" xfId="2" applyNumberFormat="1" applyFont="1" applyFill="1" applyBorder="1" applyAlignment="1">
      <alignment horizontal="left"/>
    </xf>
    <xf numFmtId="41" fontId="4" fillId="0" borderId="0" xfId="6" applyNumberFormat="1" applyFont="1" applyFill="1" applyAlignment="1">
      <alignment horizontal="right"/>
    </xf>
    <xf numFmtId="165" fontId="4" fillId="0" borderId="1" xfId="2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1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0" fontId="4" fillId="0" borderId="0" xfId="2" applyNumberFormat="1" applyFont="1" applyFill="1" applyBorder="1" applyAlignment="1"/>
    <xf numFmtId="10" fontId="4" fillId="0" borderId="0" xfId="1" applyNumberFormat="1" applyFont="1" applyFill="1" applyBorder="1"/>
    <xf numFmtId="44" fontId="3" fillId="0" borderId="0" xfId="0" applyNumberFormat="1" applyFont="1" applyFill="1" applyAlignment="1">
      <alignment horizontal="right"/>
    </xf>
    <xf numFmtId="41" fontId="4" fillId="0" borderId="3" xfId="5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41" fontId="4" fillId="0" borderId="3" xfId="0" applyNumberFormat="1" applyFont="1" applyFill="1" applyBorder="1" applyAlignment="1">
      <alignment horizontal="right"/>
    </xf>
    <xf numFmtId="164" fontId="4" fillId="0" borderId="2" xfId="2" applyFont="1" applyFill="1" applyBorder="1"/>
    <xf numFmtId="166" fontId="4" fillId="0" borderId="2" xfId="3" applyNumberFormat="1" applyFont="1" applyFill="1" applyBorder="1" applyAlignment="1"/>
    <xf numFmtId="0" fontId="0" fillId="0" borderId="0" xfId="0" applyFill="1" applyAlignment="1">
      <alignment vertical="center" wrapText="1"/>
    </xf>
    <xf numFmtId="8" fontId="0" fillId="0" borderId="0" xfId="0" applyNumberFormat="1" applyFill="1" applyAlignment="1">
      <alignment wrapText="1"/>
    </xf>
    <xf numFmtId="1" fontId="4" fillId="0" borderId="0" xfId="2" applyNumberFormat="1" applyFont="1" applyFill="1" applyBorder="1" applyAlignment="1">
      <alignment horizontal="left"/>
    </xf>
    <xf numFmtId="165" fontId="4" fillId="0" borderId="0" xfId="2" applyNumberFormat="1" applyFont="1" applyFill="1" applyBorder="1" applyAlignment="1"/>
    <xf numFmtId="165" fontId="4" fillId="0" borderId="2" xfId="2" applyNumberFormat="1" applyFont="1" applyFill="1" applyBorder="1" applyAlignment="1">
      <alignment horizontal="left"/>
    </xf>
    <xf numFmtId="1" fontId="4" fillId="0" borderId="2" xfId="2" applyNumberFormat="1" applyFont="1" applyFill="1" applyBorder="1" applyAlignment="1">
      <alignment horizontal="left"/>
    </xf>
    <xf numFmtId="167" fontId="4" fillId="0" borderId="2" xfId="3" applyNumberFormat="1" applyFont="1" applyFill="1" applyBorder="1" applyAlignment="1"/>
    <xf numFmtId="168" fontId="4" fillId="0" borderId="0" xfId="1" applyNumberFormat="1" applyFont="1" applyFill="1" applyAlignment="1">
      <alignment horizontal="right"/>
    </xf>
    <xf numFmtId="9" fontId="4" fillId="0" borderId="0" xfId="1" applyFont="1" applyFill="1"/>
    <xf numFmtId="1" fontId="4" fillId="0" borderId="0" xfId="2" applyNumberFormat="1" applyFont="1" applyFill="1"/>
    <xf numFmtId="168" fontId="4" fillId="0" borderId="0" xfId="1" applyNumberFormat="1" applyFont="1" applyFill="1"/>
    <xf numFmtId="1" fontId="3" fillId="0" borderId="0" xfId="2" applyNumberFormat="1" applyFont="1" applyFill="1" applyBorder="1" applyAlignment="1">
      <alignment horizontal="left"/>
    </xf>
    <xf numFmtId="164" fontId="3" fillId="0" borderId="0" xfId="2" applyFont="1" applyFill="1" applyBorder="1" applyAlignment="1">
      <alignment horizontal="left"/>
    </xf>
    <xf numFmtId="166" fontId="4" fillId="0" borderId="0" xfId="3" quotePrefix="1" applyFont="1" applyFill="1" applyBorder="1"/>
    <xf numFmtId="9" fontId="4" fillId="0" borderId="0" xfId="0" applyNumberFormat="1" applyFont="1" applyFill="1" applyAlignment="1">
      <alignment horizontal="center"/>
    </xf>
    <xf numFmtId="1" fontId="4" fillId="0" borderId="1" xfId="2" applyNumberFormat="1" applyFont="1" applyFill="1" applyBorder="1" applyAlignment="1">
      <alignment horizontal="right"/>
    </xf>
    <xf numFmtId="164" fontId="4" fillId="0" borderId="1" xfId="2" applyFont="1" applyFill="1" applyBorder="1" applyAlignment="1">
      <alignment horizontal="left"/>
    </xf>
    <xf numFmtId="164" fontId="4" fillId="0" borderId="1" xfId="2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right"/>
    </xf>
    <xf numFmtId="164" fontId="4" fillId="0" borderId="0" xfId="2" applyFont="1" applyFill="1" applyBorder="1" applyAlignment="1">
      <alignment horizontal="left"/>
    </xf>
    <xf numFmtId="164" fontId="4" fillId="0" borderId="0" xfId="2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" fontId="4" fillId="0" borderId="2" xfId="2" applyNumberFormat="1" applyFont="1" applyFill="1" applyBorder="1" applyAlignment="1">
      <alignment horizontal="right"/>
    </xf>
    <xf numFmtId="164" fontId="4" fillId="0" borderId="2" xfId="2" applyFont="1" applyFill="1" applyBorder="1" applyAlignment="1">
      <alignment horizontal="left"/>
    </xf>
    <xf numFmtId="164" fontId="4" fillId="0" borderId="2" xfId="2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right"/>
    </xf>
    <xf numFmtId="168" fontId="4" fillId="0" borderId="1" xfId="1" applyNumberFormat="1" applyFont="1" applyFill="1" applyBorder="1"/>
    <xf numFmtId="3" fontId="4" fillId="0" borderId="1" xfId="2" applyNumberFormat="1" applyFont="1" applyFill="1" applyBorder="1" applyAlignment="1">
      <alignment horizontal="right"/>
    </xf>
    <xf numFmtId="3" fontId="4" fillId="0" borderId="1" xfId="2" applyNumberFormat="1" applyFont="1" applyFill="1" applyBorder="1"/>
    <xf numFmtId="0" fontId="4" fillId="0" borderId="0" xfId="4" applyFont="1" applyFill="1" applyBorder="1" applyAlignment="1">
      <alignment horizontal="right"/>
    </xf>
    <xf numFmtId="168" fontId="4" fillId="0" borderId="0" xfId="1" applyNumberFormat="1" applyFont="1" applyFill="1" applyBorder="1"/>
    <xf numFmtId="3" fontId="4" fillId="0" borderId="0" xfId="2" applyNumberFormat="1" applyFont="1" applyFill="1" applyBorder="1" applyAlignment="1">
      <alignment horizontal="right"/>
    </xf>
    <xf numFmtId="1" fontId="4" fillId="0" borderId="0" xfId="2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right"/>
    </xf>
    <xf numFmtId="0" fontId="4" fillId="0" borderId="2" xfId="4" applyFont="1" applyFill="1" applyBorder="1" applyAlignment="1">
      <alignment horizontal="right"/>
    </xf>
    <xf numFmtId="168" fontId="4" fillId="0" borderId="2" xfId="1" applyNumberFormat="1" applyFont="1" applyFill="1" applyBorder="1"/>
    <xf numFmtId="3" fontId="4" fillId="0" borderId="2" xfId="2" applyNumberFormat="1" applyFont="1" applyFill="1" applyBorder="1" applyAlignment="1">
      <alignment horizontal="right"/>
    </xf>
    <xf numFmtId="3" fontId="4" fillId="0" borderId="2" xfId="2" applyNumberFormat="1" applyFont="1" applyFill="1" applyBorder="1"/>
    <xf numFmtId="165" fontId="4" fillId="0" borderId="2" xfId="2" applyNumberFormat="1" applyFont="1" applyFill="1" applyBorder="1"/>
    <xf numFmtId="164" fontId="4" fillId="0" borderId="2" xfId="2" applyNumberFormat="1" applyFont="1" applyFill="1" applyBorder="1"/>
    <xf numFmtId="0" fontId="4" fillId="0" borderId="0" xfId="0" applyFont="1" applyFill="1" applyBorder="1" applyAlignment="1">
      <alignment horizontal="right"/>
    </xf>
    <xf numFmtId="164" fontId="4" fillId="0" borderId="1" xfId="2" applyFont="1" applyFill="1" applyBorder="1"/>
    <xf numFmtId="165" fontId="4" fillId="0" borderId="4" xfId="2" applyNumberFormat="1" applyFont="1" applyFill="1" applyBorder="1"/>
    <xf numFmtId="0" fontId="4" fillId="0" borderId="0" xfId="4" applyFont="1" applyFill="1"/>
    <xf numFmtId="40" fontId="4" fillId="0" borderId="0" xfId="0" applyNumberFormat="1" applyFont="1" applyFill="1" applyAlignment="1">
      <alignment horizontal="right"/>
    </xf>
    <xf numFmtId="1" fontId="4" fillId="0" borderId="0" xfId="2" applyNumberFormat="1" applyFont="1" applyFill="1" applyAlignment="1">
      <alignment horizontal="left"/>
    </xf>
    <xf numFmtId="165" fontId="4" fillId="0" borderId="3" xfId="2" applyNumberFormat="1" applyFont="1" applyFill="1" applyBorder="1" applyAlignment="1">
      <alignment horizontal="right"/>
    </xf>
    <xf numFmtId="165" fontId="4" fillId="0" borderId="6" xfId="2" applyNumberFormat="1" applyFont="1" applyFill="1" applyBorder="1"/>
    <xf numFmtId="165" fontId="4" fillId="0" borderId="0" xfId="2" applyNumberFormat="1" applyFont="1" applyFill="1" applyAlignment="1">
      <alignment horizontal="right"/>
    </xf>
    <xf numFmtId="164" fontId="4" fillId="0" borderId="0" xfId="2" applyFont="1" applyFill="1" applyAlignment="1">
      <alignment horizontal="left"/>
    </xf>
    <xf numFmtId="165" fontId="4" fillId="0" borderId="8" xfId="2" applyNumberFormat="1" applyFont="1" applyFill="1" applyBorder="1"/>
    <xf numFmtId="0" fontId="4" fillId="0" borderId="7" xfId="0" applyFont="1" applyFill="1" applyBorder="1" applyAlignment="1">
      <alignment horizontal="center"/>
    </xf>
    <xf numFmtId="171" fontId="4" fillId="0" borderId="7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1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171" fontId="4" fillId="0" borderId="15" xfId="0" applyNumberFormat="1" applyFont="1" applyFill="1" applyBorder="1" applyAlignment="1">
      <alignment horizontal="center"/>
    </xf>
    <xf numFmtId="171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71" fontId="4" fillId="0" borderId="21" xfId="0" applyNumberFormat="1" applyFont="1" applyFill="1" applyBorder="1" applyAlignment="1">
      <alignment horizontal="center"/>
    </xf>
    <xf numFmtId="171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71" fontId="4" fillId="0" borderId="18" xfId="0" applyNumberFormat="1" applyFont="1" applyFill="1" applyBorder="1" applyAlignment="1">
      <alignment horizontal="center"/>
    </xf>
    <xf numFmtId="171" fontId="4" fillId="0" borderId="2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right"/>
    </xf>
    <xf numFmtId="171" fontId="5" fillId="0" borderId="27" xfId="0" applyNumberFormat="1" applyFont="1" applyFill="1" applyBorder="1" applyAlignment="1">
      <alignment horizontal="center"/>
    </xf>
    <xf numFmtId="164" fontId="4" fillId="0" borderId="0" xfId="2" quotePrefix="1" applyFont="1" applyFill="1"/>
    <xf numFmtId="38" fontId="4" fillId="0" borderId="1" xfId="2" applyNumberFormat="1" applyFont="1" applyFill="1" applyBorder="1"/>
    <xf numFmtId="38" fontId="4" fillId="0" borderId="0" xfId="2" applyNumberFormat="1" applyFont="1" applyFill="1" applyBorder="1"/>
    <xf numFmtId="38" fontId="4" fillId="0" borderId="2" xfId="2" applyNumberFormat="1" applyFont="1" applyFill="1" applyBorder="1"/>
    <xf numFmtId="10" fontId="4" fillId="0" borderId="0" xfId="0" applyNumberFormat="1" applyFont="1" applyFill="1" applyAlignment="1">
      <alignment horizontal="right"/>
    </xf>
    <xf numFmtId="168" fontId="4" fillId="0" borderId="1" xfId="1" quotePrefix="1" applyNumberFormat="1" applyFont="1" applyFill="1" applyBorder="1"/>
    <xf numFmtId="168" fontId="4" fillId="0" borderId="0" xfId="1" quotePrefix="1" applyNumberFormat="1" applyFont="1" applyFill="1" applyBorder="1"/>
    <xf numFmtId="168" fontId="4" fillId="0" borderId="2" xfId="1" quotePrefix="1" applyNumberFormat="1" applyFont="1" applyFill="1" applyBorder="1"/>
    <xf numFmtId="165" fontId="4" fillId="0" borderId="5" xfId="2" applyNumberFormat="1" applyFont="1" applyFill="1" applyBorder="1"/>
    <xf numFmtId="44" fontId="4" fillId="0" borderId="0" xfId="7" applyFont="1" applyFill="1"/>
    <xf numFmtId="164" fontId="4" fillId="9" borderId="0" xfId="2" applyFont="1" applyFill="1" applyBorder="1"/>
    <xf numFmtId="10" fontId="4" fillId="9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center"/>
    </xf>
  </cellXfs>
  <cellStyles count="8">
    <cellStyle name="Comma_Book1" xfId="6"/>
    <cellStyle name="Comma_NH Nibley Growth model" xfId="2"/>
    <cellStyle name="Currency" xfId="7" builtinId="4"/>
    <cellStyle name="Currency_NH Nibley Growth model" xfId="3"/>
    <cellStyle name="Normal" xfId="0" builtinId="0"/>
    <cellStyle name="Normal_Book1" xfId="5"/>
    <cellStyle name="Normal_NH Nibley Growth model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ri.WILLARDCITY\Downloads\2015-01-26%20cost%20model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WQB - 2.7% Growth"/>
      <sheetName val="Refinance Dynamic 1-21-15"/>
      <sheetName val="Refinance Dynamic 1-27-15"/>
      <sheetName val="1-27-15 refinance check"/>
      <sheetName val="Refinance Dynamic 1-28-15"/>
      <sheetName val="1-28-15 refinance check"/>
      <sheetName val="Refinance Scenario Static"/>
      <sheetName val="Cashflow w-Growth"/>
      <sheetName val="Dynamic"/>
    </sheetNames>
    <sheetDataSet>
      <sheetData sheetId="0">
        <row r="21">
          <cell r="I21">
            <v>340000</v>
          </cell>
        </row>
        <row r="22">
          <cell r="I22">
            <v>350000</v>
          </cell>
        </row>
        <row r="23">
          <cell r="I23">
            <v>355000</v>
          </cell>
        </row>
        <row r="24">
          <cell r="I24">
            <v>360000</v>
          </cell>
        </row>
        <row r="25">
          <cell r="I25">
            <v>365000</v>
          </cell>
        </row>
        <row r="26">
          <cell r="I26">
            <v>370000</v>
          </cell>
        </row>
        <row r="27">
          <cell r="I27">
            <v>375000</v>
          </cell>
        </row>
        <row r="28">
          <cell r="I28">
            <v>380000</v>
          </cell>
        </row>
        <row r="29">
          <cell r="I29">
            <v>385000</v>
          </cell>
        </row>
        <row r="30">
          <cell r="I30">
            <v>390000</v>
          </cell>
        </row>
        <row r="31">
          <cell r="I31">
            <v>395000</v>
          </cell>
        </row>
        <row r="32">
          <cell r="I32">
            <v>400000</v>
          </cell>
        </row>
        <row r="33">
          <cell r="I33">
            <v>405000</v>
          </cell>
        </row>
        <row r="34">
          <cell r="I34">
            <v>410000</v>
          </cell>
        </row>
        <row r="35">
          <cell r="I35">
            <v>415000</v>
          </cell>
        </row>
        <row r="36">
          <cell r="I36">
            <v>420000</v>
          </cell>
        </row>
        <row r="37">
          <cell r="I37">
            <v>425000</v>
          </cell>
        </row>
        <row r="38">
          <cell r="I38">
            <v>430000</v>
          </cell>
        </row>
        <row r="39">
          <cell r="I39">
            <v>440000</v>
          </cell>
        </row>
        <row r="40">
          <cell r="I40">
            <v>450000</v>
          </cell>
        </row>
        <row r="41">
          <cell r="I41">
            <v>460000</v>
          </cell>
        </row>
        <row r="42">
          <cell r="I42">
            <v>470000</v>
          </cell>
        </row>
        <row r="43">
          <cell r="I43">
            <v>480000</v>
          </cell>
        </row>
        <row r="44">
          <cell r="I44">
            <v>490000</v>
          </cell>
        </row>
        <row r="45">
          <cell r="I45">
            <v>490000</v>
          </cell>
        </row>
        <row r="46">
          <cell r="I46">
            <v>490000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view="pageBreakPreview" topLeftCell="A16" zoomScaleNormal="100" zoomScaleSheetLayoutView="100" workbookViewId="0">
      <selection activeCell="F40" sqref="F40"/>
    </sheetView>
  </sheetViews>
  <sheetFormatPr defaultColWidth="12.7109375" defaultRowHeight="12" customHeight="1" x14ac:dyDescent="0.2"/>
  <cols>
    <col min="1" max="1" width="4.5703125" style="20" customWidth="1"/>
    <col min="2" max="2" width="3.85546875" style="21" hidden="1" customWidth="1"/>
    <col min="3" max="5" width="5.85546875" style="9" customWidth="1"/>
    <col min="6" max="6" width="11.5703125" style="9" customWidth="1"/>
    <col min="7" max="7" width="9.7109375" style="9" customWidth="1"/>
    <col min="8" max="9" width="9.7109375" style="4" customWidth="1"/>
    <col min="10" max="10" width="9.7109375" style="5" customWidth="1"/>
    <col min="11" max="11" width="9.7109375" style="4" customWidth="1"/>
    <col min="12" max="13" width="9.7109375" style="9" customWidth="1"/>
    <col min="14" max="14" width="11.28515625" style="9" customWidth="1"/>
    <col min="15" max="16" width="9.7109375" style="4" customWidth="1"/>
    <col min="17" max="19" width="9.7109375" style="9" customWidth="1"/>
    <col min="20" max="20" width="9.7109375" style="4" customWidth="1"/>
    <col min="21" max="21" width="7.7109375" style="39" customWidth="1"/>
    <col min="22" max="256" width="12.7109375" style="8"/>
    <col min="257" max="257" width="4.5703125" style="8" customWidth="1"/>
    <col min="258" max="258" width="0" style="8" hidden="1" customWidth="1"/>
    <col min="259" max="261" width="5.85546875" style="8" customWidth="1"/>
    <col min="262" max="262" width="10.28515625" style="8" customWidth="1"/>
    <col min="263" max="269" width="9.7109375" style="8" customWidth="1"/>
    <col min="270" max="270" width="10.140625" style="8" customWidth="1"/>
    <col min="271" max="276" width="9.7109375" style="8" customWidth="1"/>
    <col min="277" max="277" width="7.7109375" style="8" customWidth="1"/>
    <col min="278" max="512" width="12.7109375" style="8"/>
    <col min="513" max="513" width="4.5703125" style="8" customWidth="1"/>
    <col min="514" max="514" width="0" style="8" hidden="1" customWidth="1"/>
    <col min="515" max="517" width="5.85546875" style="8" customWidth="1"/>
    <col min="518" max="518" width="10.28515625" style="8" customWidth="1"/>
    <col min="519" max="525" width="9.7109375" style="8" customWidth="1"/>
    <col min="526" max="526" width="10.140625" style="8" customWidth="1"/>
    <col min="527" max="532" width="9.7109375" style="8" customWidth="1"/>
    <col min="533" max="533" width="7.7109375" style="8" customWidth="1"/>
    <col min="534" max="768" width="12.7109375" style="8"/>
    <col min="769" max="769" width="4.5703125" style="8" customWidth="1"/>
    <col min="770" max="770" width="0" style="8" hidden="1" customWidth="1"/>
    <col min="771" max="773" width="5.85546875" style="8" customWidth="1"/>
    <col min="774" max="774" width="10.28515625" style="8" customWidth="1"/>
    <col min="775" max="781" width="9.7109375" style="8" customWidth="1"/>
    <col min="782" max="782" width="10.140625" style="8" customWidth="1"/>
    <col min="783" max="788" width="9.7109375" style="8" customWidth="1"/>
    <col min="789" max="789" width="7.7109375" style="8" customWidth="1"/>
    <col min="790" max="1024" width="12.7109375" style="8"/>
    <col min="1025" max="1025" width="4.5703125" style="8" customWidth="1"/>
    <col min="1026" max="1026" width="0" style="8" hidden="1" customWidth="1"/>
    <col min="1027" max="1029" width="5.85546875" style="8" customWidth="1"/>
    <col min="1030" max="1030" width="10.28515625" style="8" customWidth="1"/>
    <col min="1031" max="1037" width="9.7109375" style="8" customWidth="1"/>
    <col min="1038" max="1038" width="10.140625" style="8" customWidth="1"/>
    <col min="1039" max="1044" width="9.7109375" style="8" customWidth="1"/>
    <col min="1045" max="1045" width="7.7109375" style="8" customWidth="1"/>
    <col min="1046" max="1280" width="12.7109375" style="8"/>
    <col min="1281" max="1281" width="4.5703125" style="8" customWidth="1"/>
    <col min="1282" max="1282" width="0" style="8" hidden="1" customWidth="1"/>
    <col min="1283" max="1285" width="5.85546875" style="8" customWidth="1"/>
    <col min="1286" max="1286" width="10.28515625" style="8" customWidth="1"/>
    <col min="1287" max="1293" width="9.7109375" style="8" customWidth="1"/>
    <col min="1294" max="1294" width="10.140625" style="8" customWidth="1"/>
    <col min="1295" max="1300" width="9.7109375" style="8" customWidth="1"/>
    <col min="1301" max="1301" width="7.7109375" style="8" customWidth="1"/>
    <col min="1302" max="1536" width="12.7109375" style="8"/>
    <col min="1537" max="1537" width="4.5703125" style="8" customWidth="1"/>
    <col min="1538" max="1538" width="0" style="8" hidden="1" customWidth="1"/>
    <col min="1539" max="1541" width="5.85546875" style="8" customWidth="1"/>
    <col min="1542" max="1542" width="10.28515625" style="8" customWidth="1"/>
    <col min="1543" max="1549" width="9.7109375" style="8" customWidth="1"/>
    <col min="1550" max="1550" width="10.140625" style="8" customWidth="1"/>
    <col min="1551" max="1556" width="9.7109375" style="8" customWidth="1"/>
    <col min="1557" max="1557" width="7.7109375" style="8" customWidth="1"/>
    <col min="1558" max="1792" width="12.7109375" style="8"/>
    <col min="1793" max="1793" width="4.5703125" style="8" customWidth="1"/>
    <col min="1794" max="1794" width="0" style="8" hidden="1" customWidth="1"/>
    <col min="1795" max="1797" width="5.85546875" style="8" customWidth="1"/>
    <col min="1798" max="1798" width="10.28515625" style="8" customWidth="1"/>
    <col min="1799" max="1805" width="9.7109375" style="8" customWidth="1"/>
    <col min="1806" max="1806" width="10.140625" style="8" customWidth="1"/>
    <col min="1807" max="1812" width="9.7109375" style="8" customWidth="1"/>
    <col min="1813" max="1813" width="7.7109375" style="8" customWidth="1"/>
    <col min="1814" max="2048" width="12.7109375" style="8"/>
    <col min="2049" max="2049" width="4.5703125" style="8" customWidth="1"/>
    <col min="2050" max="2050" width="0" style="8" hidden="1" customWidth="1"/>
    <col min="2051" max="2053" width="5.85546875" style="8" customWidth="1"/>
    <col min="2054" max="2054" width="10.28515625" style="8" customWidth="1"/>
    <col min="2055" max="2061" width="9.7109375" style="8" customWidth="1"/>
    <col min="2062" max="2062" width="10.140625" style="8" customWidth="1"/>
    <col min="2063" max="2068" width="9.7109375" style="8" customWidth="1"/>
    <col min="2069" max="2069" width="7.7109375" style="8" customWidth="1"/>
    <col min="2070" max="2304" width="12.7109375" style="8"/>
    <col min="2305" max="2305" width="4.5703125" style="8" customWidth="1"/>
    <col min="2306" max="2306" width="0" style="8" hidden="1" customWidth="1"/>
    <col min="2307" max="2309" width="5.85546875" style="8" customWidth="1"/>
    <col min="2310" max="2310" width="10.28515625" style="8" customWidth="1"/>
    <col min="2311" max="2317" width="9.7109375" style="8" customWidth="1"/>
    <col min="2318" max="2318" width="10.140625" style="8" customWidth="1"/>
    <col min="2319" max="2324" width="9.7109375" style="8" customWidth="1"/>
    <col min="2325" max="2325" width="7.7109375" style="8" customWidth="1"/>
    <col min="2326" max="2560" width="12.7109375" style="8"/>
    <col min="2561" max="2561" width="4.5703125" style="8" customWidth="1"/>
    <col min="2562" max="2562" width="0" style="8" hidden="1" customWidth="1"/>
    <col min="2563" max="2565" width="5.85546875" style="8" customWidth="1"/>
    <col min="2566" max="2566" width="10.28515625" style="8" customWidth="1"/>
    <col min="2567" max="2573" width="9.7109375" style="8" customWidth="1"/>
    <col min="2574" max="2574" width="10.140625" style="8" customWidth="1"/>
    <col min="2575" max="2580" width="9.7109375" style="8" customWidth="1"/>
    <col min="2581" max="2581" width="7.7109375" style="8" customWidth="1"/>
    <col min="2582" max="2816" width="12.7109375" style="8"/>
    <col min="2817" max="2817" width="4.5703125" style="8" customWidth="1"/>
    <col min="2818" max="2818" width="0" style="8" hidden="1" customWidth="1"/>
    <col min="2819" max="2821" width="5.85546875" style="8" customWidth="1"/>
    <col min="2822" max="2822" width="10.28515625" style="8" customWidth="1"/>
    <col min="2823" max="2829" width="9.7109375" style="8" customWidth="1"/>
    <col min="2830" max="2830" width="10.140625" style="8" customWidth="1"/>
    <col min="2831" max="2836" width="9.7109375" style="8" customWidth="1"/>
    <col min="2837" max="2837" width="7.7109375" style="8" customWidth="1"/>
    <col min="2838" max="3072" width="12.7109375" style="8"/>
    <col min="3073" max="3073" width="4.5703125" style="8" customWidth="1"/>
    <col min="3074" max="3074" width="0" style="8" hidden="1" customWidth="1"/>
    <col min="3075" max="3077" width="5.85546875" style="8" customWidth="1"/>
    <col min="3078" max="3078" width="10.28515625" style="8" customWidth="1"/>
    <col min="3079" max="3085" width="9.7109375" style="8" customWidth="1"/>
    <col min="3086" max="3086" width="10.140625" style="8" customWidth="1"/>
    <col min="3087" max="3092" width="9.7109375" style="8" customWidth="1"/>
    <col min="3093" max="3093" width="7.7109375" style="8" customWidth="1"/>
    <col min="3094" max="3328" width="12.7109375" style="8"/>
    <col min="3329" max="3329" width="4.5703125" style="8" customWidth="1"/>
    <col min="3330" max="3330" width="0" style="8" hidden="1" customWidth="1"/>
    <col min="3331" max="3333" width="5.85546875" style="8" customWidth="1"/>
    <col min="3334" max="3334" width="10.28515625" style="8" customWidth="1"/>
    <col min="3335" max="3341" width="9.7109375" style="8" customWidth="1"/>
    <col min="3342" max="3342" width="10.140625" style="8" customWidth="1"/>
    <col min="3343" max="3348" width="9.7109375" style="8" customWidth="1"/>
    <col min="3349" max="3349" width="7.7109375" style="8" customWidth="1"/>
    <col min="3350" max="3584" width="12.7109375" style="8"/>
    <col min="3585" max="3585" width="4.5703125" style="8" customWidth="1"/>
    <col min="3586" max="3586" width="0" style="8" hidden="1" customWidth="1"/>
    <col min="3587" max="3589" width="5.85546875" style="8" customWidth="1"/>
    <col min="3590" max="3590" width="10.28515625" style="8" customWidth="1"/>
    <col min="3591" max="3597" width="9.7109375" style="8" customWidth="1"/>
    <col min="3598" max="3598" width="10.140625" style="8" customWidth="1"/>
    <col min="3599" max="3604" width="9.7109375" style="8" customWidth="1"/>
    <col min="3605" max="3605" width="7.7109375" style="8" customWidth="1"/>
    <col min="3606" max="3840" width="12.7109375" style="8"/>
    <col min="3841" max="3841" width="4.5703125" style="8" customWidth="1"/>
    <col min="3842" max="3842" width="0" style="8" hidden="1" customWidth="1"/>
    <col min="3843" max="3845" width="5.85546875" style="8" customWidth="1"/>
    <col min="3846" max="3846" width="10.28515625" style="8" customWidth="1"/>
    <col min="3847" max="3853" width="9.7109375" style="8" customWidth="1"/>
    <col min="3854" max="3854" width="10.140625" style="8" customWidth="1"/>
    <col min="3855" max="3860" width="9.7109375" style="8" customWidth="1"/>
    <col min="3861" max="3861" width="7.7109375" style="8" customWidth="1"/>
    <col min="3862" max="4096" width="12.7109375" style="8"/>
    <col min="4097" max="4097" width="4.5703125" style="8" customWidth="1"/>
    <col min="4098" max="4098" width="0" style="8" hidden="1" customWidth="1"/>
    <col min="4099" max="4101" width="5.85546875" style="8" customWidth="1"/>
    <col min="4102" max="4102" width="10.28515625" style="8" customWidth="1"/>
    <col min="4103" max="4109" width="9.7109375" style="8" customWidth="1"/>
    <col min="4110" max="4110" width="10.140625" style="8" customWidth="1"/>
    <col min="4111" max="4116" width="9.7109375" style="8" customWidth="1"/>
    <col min="4117" max="4117" width="7.7109375" style="8" customWidth="1"/>
    <col min="4118" max="4352" width="12.7109375" style="8"/>
    <col min="4353" max="4353" width="4.5703125" style="8" customWidth="1"/>
    <col min="4354" max="4354" width="0" style="8" hidden="1" customWidth="1"/>
    <col min="4355" max="4357" width="5.85546875" style="8" customWidth="1"/>
    <col min="4358" max="4358" width="10.28515625" style="8" customWidth="1"/>
    <col min="4359" max="4365" width="9.7109375" style="8" customWidth="1"/>
    <col min="4366" max="4366" width="10.140625" style="8" customWidth="1"/>
    <col min="4367" max="4372" width="9.7109375" style="8" customWidth="1"/>
    <col min="4373" max="4373" width="7.7109375" style="8" customWidth="1"/>
    <col min="4374" max="4608" width="12.7109375" style="8"/>
    <col min="4609" max="4609" width="4.5703125" style="8" customWidth="1"/>
    <col min="4610" max="4610" width="0" style="8" hidden="1" customWidth="1"/>
    <col min="4611" max="4613" width="5.85546875" style="8" customWidth="1"/>
    <col min="4614" max="4614" width="10.28515625" style="8" customWidth="1"/>
    <col min="4615" max="4621" width="9.7109375" style="8" customWidth="1"/>
    <col min="4622" max="4622" width="10.140625" style="8" customWidth="1"/>
    <col min="4623" max="4628" width="9.7109375" style="8" customWidth="1"/>
    <col min="4629" max="4629" width="7.7109375" style="8" customWidth="1"/>
    <col min="4630" max="4864" width="12.7109375" style="8"/>
    <col min="4865" max="4865" width="4.5703125" style="8" customWidth="1"/>
    <col min="4866" max="4866" width="0" style="8" hidden="1" customWidth="1"/>
    <col min="4867" max="4869" width="5.85546875" style="8" customWidth="1"/>
    <col min="4870" max="4870" width="10.28515625" style="8" customWidth="1"/>
    <col min="4871" max="4877" width="9.7109375" style="8" customWidth="1"/>
    <col min="4878" max="4878" width="10.140625" style="8" customWidth="1"/>
    <col min="4879" max="4884" width="9.7109375" style="8" customWidth="1"/>
    <col min="4885" max="4885" width="7.7109375" style="8" customWidth="1"/>
    <col min="4886" max="5120" width="12.7109375" style="8"/>
    <col min="5121" max="5121" width="4.5703125" style="8" customWidth="1"/>
    <col min="5122" max="5122" width="0" style="8" hidden="1" customWidth="1"/>
    <col min="5123" max="5125" width="5.85546875" style="8" customWidth="1"/>
    <col min="5126" max="5126" width="10.28515625" style="8" customWidth="1"/>
    <col min="5127" max="5133" width="9.7109375" style="8" customWidth="1"/>
    <col min="5134" max="5134" width="10.140625" style="8" customWidth="1"/>
    <col min="5135" max="5140" width="9.7109375" style="8" customWidth="1"/>
    <col min="5141" max="5141" width="7.7109375" style="8" customWidth="1"/>
    <col min="5142" max="5376" width="12.7109375" style="8"/>
    <col min="5377" max="5377" width="4.5703125" style="8" customWidth="1"/>
    <col min="5378" max="5378" width="0" style="8" hidden="1" customWidth="1"/>
    <col min="5379" max="5381" width="5.85546875" style="8" customWidth="1"/>
    <col min="5382" max="5382" width="10.28515625" style="8" customWidth="1"/>
    <col min="5383" max="5389" width="9.7109375" style="8" customWidth="1"/>
    <col min="5390" max="5390" width="10.140625" style="8" customWidth="1"/>
    <col min="5391" max="5396" width="9.7109375" style="8" customWidth="1"/>
    <col min="5397" max="5397" width="7.7109375" style="8" customWidth="1"/>
    <col min="5398" max="5632" width="12.7109375" style="8"/>
    <col min="5633" max="5633" width="4.5703125" style="8" customWidth="1"/>
    <col min="5634" max="5634" width="0" style="8" hidden="1" customWidth="1"/>
    <col min="5635" max="5637" width="5.85546875" style="8" customWidth="1"/>
    <col min="5638" max="5638" width="10.28515625" style="8" customWidth="1"/>
    <col min="5639" max="5645" width="9.7109375" style="8" customWidth="1"/>
    <col min="5646" max="5646" width="10.140625" style="8" customWidth="1"/>
    <col min="5647" max="5652" width="9.7109375" style="8" customWidth="1"/>
    <col min="5653" max="5653" width="7.7109375" style="8" customWidth="1"/>
    <col min="5654" max="5888" width="12.7109375" style="8"/>
    <col min="5889" max="5889" width="4.5703125" style="8" customWidth="1"/>
    <col min="5890" max="5890" width="0" style="8" hidden="1" customWidth="1"/>
    <col min="5891" max="5893" width="5.85546875" style="8" customWidth="1"/>
    <col min="5894" max="5894" width="10.28515625" style="8" customWidth="1"/>
    <col min="5895" max="5901" width="9.7109375" style="8" customWidth="1"/>
    <col min="5902" max="5902" width="10.140625" style="8" customWidth="1"/>
    <col min="5903" max="5908" width="9.7109375" style="8" customWidth="1"/>
    <col min="5909" max="5909" width="7.7109375" style="8" customWidth="1"/>
    <col min="5910" max="6144" width="12.7109375" style="8"/>
    <col min="6145" max="6145" width="4.5703125" style="8" customWidth="1"/>
    <col min="6146" max="6146" width="0" style="8" hidden="1" customWidth="1"/>
    <col min="6147" max="6149" width="5.85546875" style="8" customWidth="1"/>
    <col min="6150" max="6150" width="10.28515625" style="8" customWidth="1"/>
    <col min="6151" max="6157" width="9.7109375" style="8" customWidth="1"/>
    <col min="6158" max="6158" width="10.140625" style="8" customWidth="1"/>
    <col min="6159" max="6164" width="9.7109375" style="8" customWidth="1"/>
    <col min="6165" max="6165" width="7.7109375" style="8" customWidth="1"/>
    <col min="6166" max="6400" width="12.7109375" style="8"/>
    <col min="6401" max="6401" width="4.5703125" style="8" customWidth="1"/>
    <col min="6402" max="6402" width="0" style="8" hidden="1" customWidth="1"/>
    <col min="6403" max="6405" width="5.85546875" style="8" customWidth="1"/>
    <col min="6406" max="6406" width="10.28515625" style="8" customWidth="1"/>
    <col min="6407" max="6413" width="9.7109375" style="8" customWidth="1"/>
    <col min="6414" max="6414" width="10.140625" style="8" customWidth="1"/>
    <col min="6415" max="6420" width="9.7109375" style="8" customWidth="1"/>
    <col min="6421" max="6421" width="7.7109375" style="8" customWidth="1"/>
    <col min="6422" max="6656" width="12.7109375" style="8"/>
    <col min="6657" max="6657" width="4.5703125" style="8" customWidth="1"/>
    <col min="6658" max="6658" width="0" style="8" hidden="1" customWidth="1"/>
    <col min="6659" max="6661" width="5.85546875" style="8" customWidth="1"/>
    <col min="6662" max="6662" width="10.28515625" style="8" customWidth="1"/>
    <col min="6663" max="6669" width="9.7109375" style="8" customWidth="1"/>
    <col min="6670" max="6670" width="10.140625" style="8" customWidth="1"/>
    <col min="6671" max="6676" width="9.7109375" style="8" customWidth="1"/>
    <col min="6677" max="6677" width="7.7109375" style="8" customWidth="1"/>
    <col min="6678" max="6912" width="12.7109375" style="8"/>
    <col min="6913" max="6913" width="4.5703125" style="8" customWidth="1"/>
    <col min="6914" max="6914" width="0" style="8" hidden="1" customWidth="1"/>
    <col min="6915" max="6917" width="5.85546875" style="8" customWidth="1"/>
    <col min="6918" max="6918" width="10.28515625" style="8" customWidth="1"/>
    <col min="6919" max="6925" width="9.7109375" style="8" customWidth="1"/>
    <col min="6926" max="6926" width="10.140625" style="8" customWidth="1"/>
    <col min="6927" max="6932" width="9.7109375" style="8" customWidth="1"/>
    <col min="6933" max="6933" width="7.7109375" style="8" customWidth="1"/>
    <col min="6934" max="7168" width="12.7109375" style="8"/>
    <col min="7169" max="7169" width="4.5703125" style="8" customWidth="1"/>
    <col min="7170" max="7170" width="0" style="8" hidden="1" customWidth="1"/>
    <col min="7171" max="7173" width="5.85546875" style="8" customWidth="1"/>
    <col min="7174" max="7174" width="10.28515625" style="8" customWidth="1"/>
    <col min="7175" max="7181" width="9.7109375" style="8" customWidth="1"/>
    <col min="7182" max="7182" width="10.140625" style="8" customWidth="1"/>
    <col min="7183" max="7188" width="9.7109375" style="8" customWidth="1"/>
    <col min="7189" max="7189" width="7.7109375" style="8" customWidth="1"/>
    <col min="7190" max="7424" width="12.7109375" style="8"/>
    <col min="7425" max="7425" width="4.5703125" style="8" customWidth="1"/>
    <col min="7426" max="7426" width="0" style="8" hidden="1" customWidth="1"/>
    <col min="7427" max="7429" width="5.85546875" style="8" customWidth="1"/>
    <col min="7430" max="7430" width="10.28515625" style="8" customWidth="1"/>
    <col min="7431" max="7437" width="9.7109375" style="8" customWidth="1"/>
    <col min="7438" max="7438" width="10.140625" style="8" customWidth="1"/>
    <col min="7439" max="7444" width="9.7109375" style="8" customWidth="1"/>
    <col min="7445" max="7445" width="7.7109375" style="8" customWidth="1"/>
    <col min="7446" max="7680" width="12.7109375" style="8"/>
    <col min="7681" max="7681" width="4.5703125" style="8" customWidth="1"/>
    <col min="7682" max="7682" width="0" style="8" hidden="1" customWidth="1"/>
    <col min="7683" max="7685" width="5.85546875" style="8" customWidth="1"/>
    <col min="7686" max="7686" width="10.28515625" style="8" customWidth="1"/>
    <col min="7687" max="7693" width="9.7109375" style="8" customWidth="1"/>
    <col min="7694" max="7694" width="10.140625" style="8" customWidth="1"/>
    <col min="7695" max="7700" width="9.7109375" style="8" customWidth="1"/>
    <col min="7701" max="7701" width="7.7109375" style="8" customWidth="1"/>
    <col min="7702" max="7936" width="12.7109375" style="8"/>
    <col min="7937" max="7937" width="4.5703125" style="8" customWidth="1"/>
    <col min="7938" max="7938" width="0" style="8" hidden="1" customWidth="1"/>
    <col min="7939" max="7941" width="5.85546875" style="8" customWidth="1"/>
    <col min="7942" max="7942" width="10.28515625" style="8" customWidth="1"/>
    <col min="7943" max="7949" width="9.7109375" style="8" customWidth="1"/>
    <col min="7950" max="7950" width="10.140625" style="8" customWidth="1"/>
    <col min="7951" max="7956" width="9.7109375" style="8" customWidth="1"/>
    <col min="7957" max="7957" width="7.7109375" style="8" customWidth="1"/>
    <col min="7958" max="8192" width="12.7109375" style="8"/>
    <col min="8193" max="8193" width="4.5703125" style="8" customWidth="1"/>
    <col min="8194" max="8194" width="0" style="8" hidden="1" customWidth="1"/>
    <col min="8195" max="8197" width="5.85546875" style="8" customWidth="1"/>
    <col min="8198" max="8198" width="10.28515625" style="8" customWidth="1"/>
    <col min="8199" max="8205" width="9.7109375" style="8" customWidth="1"/>
    <col min="8206" max="8206" width="10.140625" style="8" customWidth="1"/>
    <col min="8207" max="8212" width="9.7109375" style="8" customWidth="1"/>
    <col min="8213" max="8213" width="7.7109375" style="8" customWidth="1"/>
    <col min="8214" max="8448" width="12.7109375" style="8"/>
    <col min="8449" max="8449" width="4.5703125" style="8" customWidth="1"/>
    <col min="8450" max="8450" width="0" style="8" hidden="1" customWidth="1"/>
    <col min="8451" max="8453" width="5.85546875" style="8" customWidth="1"/>
    <col min="8454" max="8454" width="10.28515625" style="8" customWidth="1"/>
    <col min="8455" max="8461" width="9.7109375" style="8" customWidth="1"/>
    <col min="8462" max="8462" width="10.140625" style="8" customWidth="1"/>
    <col min="8463" max="8468" width="9.7109375" style="8" customWidth="1"/>
    <col min="8469" max="8469" width="7.7109375" style="8" customWidth="1"/>
    <col min="8470" max="8704" width="12.7109375" style="8"/>
    <col min="8705" max="8705" width="4.5703125" style="8" customWidth="1"/>
    <col min="8706" max="8706" width="0" style="8" hidden="1" customWidth="1"/>
    <col min="8707" max="8709" width="5.85546875" style="8" customWidth="1"/>
    <col min="8710" max="8710" width="10.28515625" style="8" customWidth="1"/>
    <col min="8711" max="8717" width="9.7109375" style="8" customWidth="1"/>
    <col min="8718" max="8718" width="10.140625" style="8" customWidth="1"/>
    <col min="8719" max="8724" width="9.7109375" style="8" customWidth="1"/>
    <col min="8725" max="8725" width="7.7109375" style="8" customWidth="1"/>
    <col min="8726" max="8960" width="12.7109375" style="8"/>
    <col min="8961" max="8961" width="4.5703125" style="8" customWidth="1"/>
    <col min="8962" max="8962" width="0" style="8" hidden="1" customWidth="1"/>
    <col min="8963" max="8965" width="5.85546875" style="8" customWidth="1"/>
    <col min="8966" max="8966" width="10.28515625" style="8" customWidth="1"/>
    <col min="8967" max="8973" width="9.7109375" style="8" customWidth="1"/>
    <col min="8974" max="8974" width="10.140625" style="8" customWidth="1"/>
    <col min="8975" max="8980" width="9.7109375" style="8" customWidth="1"/>
    <col min="8981" max="8981" width="7.7109375" style="8" customWidth="1"/>
    <col min="8982" max="9216" width="12.7109375" style="8"/>
    <col min="9217" max="9217" width="4.5703125" style="8" customWidth="1"/>
    <col min="9218" max="9218" width="0" style="8" hidden="1" customWidth="1"/>
    <col min="9219" max="9221" width="5.85546875" style="8" customWidth="1"/>
    <col min="9222" max="9222" width="10.28515625" style="8" customWidth="1"/>
    <col min="9223" max="9229" width="9.7109375" style="8" customWidth="1"/>
    <col min="9230" max="9230" width="10.140625" style="8" customWidth="1"/>
    <col min="9231" max="9236" width="9.7109375" style="8" customWidth="1"/>
    <col min="9237" max="9237" width="7.7109375" style="8" customWidth="1"/>
    <col min="9238" max="9472" width="12.7109375" style="8"/>
    <col min="9473" max="9473" width="4.5703125" style="8" customWidth="1"/>
    <col min="9474" max="9474" width="0" style="8" hidden="1" customWidth="1"/>
    <col min="9475" max="9477" width="5.85546875" style="8" customWidth="1"/>
    <col min="9478" max="9478" width="10.28515625" style="8" customWidth="1"/>
    <col min="9479" max="9485" width="9.7109375" style="8" customWidth="1"/>
    <col min="9486" max="9486" width="10.140625" style="8" customWidth="1"/>
    <col min="9487" max="9492" width="9.7109375" style="8" customWidth="1"/>
    <col min="9493" max="9493" width="7.7109375" style="8" customWidth="1"/>
    <col min="9494" max="9728" width="12.7109375" style="8"/>
    <col min="9729" max="9729" width="4.5703125" style="8" customWidth="1"/>
    <col min="9730" max="9730" width="0" style="8" hidden="1" customWidth="1"/>
    <col min="9731" max="9733" width="5.85546875" style="8" customWidth="1"/>
    <col min="9734" max="9734" width="10.28515625" style="8" customWidth="1"/>
    <col min="9735" max="9741" width="9.7109375" style="8" customWidth="1"/>
    <col min="9742" max="9742" width="10.140625" style="8" customWidth="1"/>
    <col min="9743" max="9748" width="9.7109375" style="8" customWidth="1"/>
    <col min="9749" max="9749" width="7.7109375" style="8" customWidth="1"/>
    <col min="9750" max="9984" width="12.7109375" style="8"/>
    <col min="9985" max="9985" width="4.5703125" style="8" customWidth="1"/>
    <col min="9986" max="9986" width="0" style="8" hidden="1" customWidth="1"/>
    <col min="9987" max="9989" width="5.85546875" style="8" customWidth="1"/>
    <col min="9990" max="9990" width="10.28515625" style="8" customWidth="1"/>
    <col min="9991" max="9997" width="9.7109375" style="8" customWidth="1"/>
    <col min="9998" max="9998" width="10.140625" style="8" customWidth="1"/>
    <col min="9999" max="10004" width="9.7109375" style="8" customWidth="1"/>
    <col min="10005" max="10005" width="7.7109375" style="8" customWidth="1"/>
    <col min="10006" max="10240" width="12.7109375" style="8"/>
    <col min="10241" max="10241" width="4.5703125" style="8" customWidth="1"/>
    <col min="10242" max="10242" width="0" style="8" hidden="1" customWidth="1"/>
    <col min="10243" max="10245" width="5.85546875" style="8" customWidth="1"/>
    <col min="10246" max="10246" width="10.28515625" style="8" customWidth="1"/>
    <col min="10247" max="10253" width="9.7109375" style="8" customWidth="1"/>
    <col min="10254" max="10254" width="10.140625" style="8" customWidth="1"/>
    <col min="10255" max="10260" width="9.7109375" style="8" customWidth="1"/>
    <col min="10261" max="10261" width="7.7109375" style="8" customWidth="1"/>
    <col min="10262" max="10496" width="12.7109375" style="8"/>
    <col min="10497" max="10497" width="4.5703125" style="8" customWidth="1"/>
    <col min="10498" max="10498" width="0" style="8" hidden="1" customWidth="1"/>
    <col min="10499" max="10501" width="5.85546875" style="8" customWidth="1"/>
    <col min="10502" max="10502" width="10.28515625" style="8" customWidth="1"/>
    <col min="10503" max="10509" width="9.7109375" style="8" customWidth="1"/>
    <col min="10510" max="10510" width="10.140625" style="8" customWidth="1"/>
    <col min="10511" max="10516" width="9.7109375" style="8" customWidth="1"/>
    <col min="10517" max="10517" width="7.7109375" style="8" customWidth="1"/>
    <col min="10518" max="10752" width="12.7109375" style="8"/>
    <col min="10753" max="10753" width="4.5703125" style="8" customWidth="1"/>
    <col min="10754" max="10754" width="0" style="8" hidden="1" customWidth="1"/>
    <col min="10755" max="10757" width="5.85546875" style="8" customWidth="1"/>
    <col min="10758" max="10758" width="10.28515625" style="8" customWidth="1"/>
    <col min="10759" max="10765" width="9.7109375" style="8" customWidth="1"/>
    <col min="10766" max="10766" width="10.140625" style="8" customWidth="1"/>
    <col min="10767" max="10772" width="9.7109375" style="8" customWidth="1"/>
    <col min="10773" max="10773" width="7.7109375" style="8" customWidth="1"/>
    <col min="10774" max="11008" width="12.7109375" style="8"/>
    <col min="11009" max="11009" width="4.5703125" style="8" customWidth="1"/>
    <col min="11010" max="11010" width="0" style="8" hidden="1" customWidth="1"/>
    <col min="11011" max="11013" width="5.85546875" style="8" customWidth="1"/>
    <col min="11014" max="11014" width="10.28515625" style="8" customWidth="1"/>
    <col min="11015" max="11021" width="9.7109375" style="8" customWidth="1"/>
    <col min="11022" max="11022" width="10.140625" style="8" customWidth="1"/>
    <col min="11023" max="11028" width="9.7109375" style="8" customWidth="1"/>
    <col min="11029" max="11029" width="7.7109375" style="8" customWidth="1"/>
    <col min="11030" max="11264" width="12.7109375" style="8"/>
    <col min="11265" max="11265" width="4.5703125" style="8" customWidth="1"/>
    <col min="11266" max="11266" width="0" style="8" hidden="1" customWidth="1"/>
    <col min="11267" max="11269" width="5.85546875" style="8" customWidth="1"/>
    <col min="11270" max="11270" width="10.28515625" style="8" customWidth="1"/>
    <col min="11271" max="11277" width="9.7109375" style="8" customWidth="1"/>
    <col min="11278" max="11278" width="10.140625" style="8" customWidth="1"/>
    <col min="11279" max="11284" width="9.7109375" style="8" customWidth="1"/>
    <col min="11285" max="11285" width="7.7109375" style="8" customWidth="1"/>
    <col min="11286" max="11520" width="12.7109375" style="8"/>
    <col min="11521" max="11521" width="4.5703125" style="8" customWidth="1"/>
    <col min="11522" max="11522" width="0" style="8" hidden="1" customWidth="1"/>
    <col min="11523" max="11525" width="5.85546875" style="8" customWidth="1"/>
    <col min="11526" max="11526" width="10.28515625" style="8" customWidth="1"/>
    <col min="11527" max="11533" width="9.7109375" style="8" customWidth="1"/>
    <col min="11534" max="11534" width="10.140625" style="8" customWidth="1"/>
    <col min="11535" max="11540" width="9.7109375" style="8" customWidth="1"/>
    <col min="11541" max="11541" width="7.7109375" style="8" customWidth="1"/>
    <col min="11542" max="11776" width="12.7109375" style="8"/>
    <col min="11777" max="11777" width="4.5703125" style="8" customWidth="1"/>
    <col min="11778" max="11778" width="0" style="8" hidden="1" customWidth="1"/>
    <col min="11779" max="11781" width="5.85546875" style="8" customWidth="1"/>
    <col min="11782" max="11782" width="10.28515625" style="8" customWidth="1"/>
    <col min="11783" max="11789" width="9.7109375" style="8" customWidth="1"/>
    <col min="11790" max="11790" width="10.140625" style="8" customWidth="1"/>
    <col min="11791" max="11796" width="9.7109375" style="8" customWidth="1"/>
    <col min="11797" max="11797" width="7.7109375" style="8" customWidth="1"/>
    <col min="11798" max="12032" width="12.7109375" style="8"/>
    <col min="12033" max="12033" width="4.5703125" style="8" customWidth="1"/>
    <col min="12034" max="12034" width="0" style="8" hidden="1" customWidth="1"/>
    <col min="12035" max="12037" width="5.85546875" style="8" customWidth="1"/>
    <col min="12038" max="12038" width="10.28515625" style="8" customWidth="1"/>
    <col min="12039" max="12045" width="9.7109375" style="8" customWidth="1"/>
    <col min="12046" max="12046" width="10.140625" style="8" customWidth="1"/>
    <col min="12047" max="12052" width="9.7109375" style="8" customWidth="1"/>
    <col min="12053" max="12053" width="7.7109375" style="8" customWidth="1"/>
    <col min="12054" max="12288" width="12.7109375" style="8"/>
    <col min="12289" max="12289" width="4.5703125" style="8" customWidth="1"/>
    <col min="12290" max="12290" width="0" style="8" hidden="1" customWidth="1"/>
    <col min="12291" max="12293" width="5.85546875" style="8" customWidth="1"/>
    <col min="12294" max="12294" width="10.28515625" style="8" customWidth="1"/>
    <col min="12295" max="12301" width="9.7109375" style="8" customWidth="1"/>
    <col min="12302" max="12302" width="10.140625" style="8" customWidth="1"/>
    <col min="12303" max="12308" width="9.7109375" style="8" customWidth="1"/>
    <col min="12309" max="12309" width="7.7109375" style="8" customWidth="1"/>
    <col min="12310" max="12544" width="12.7109375" style="8"/>
    <col min="12545" max="12545" width="4.5703125" style="8" customWidth="1"/>
    <col min="12546" max="12546" width="0" style="8" hidden="1" customWidth="1"/>
    <col min="12547" max="12549" width="5.85546875" style="8" customWidth="1"/>
    <col min="12550" max="12550" width="10.28515625" style="8" customWidth="1"/>
    <col min="12551" max="12557" width="9.7109375" style="8" customWidth="1"/>
    <col min="12558" max="12558" width="10.140625" style="8" customWidth="1"/>
    <col min="12559" max="12564" width="9.7109375" style="8" customWidth="1"/>
    <col min="12565" max="12565" width="7.7109375" style="8" customWidth="1"/>
    <col min="12566" max="12800" width="12.7109375" style="8"/>
    <col min="12801" max="12801" width="4.5703125" style="8" customWidth="1"/>
    <col min="12802" max="12802" width="0" style="8" hidden="1" customWidth="1"/>
    <col min="12803" max="12805" width="5.85546875" style="8" customWidth="1"/>
    <col min="12806" max="12806" width="10.28515625" style="8" customWidth="1"/>
    <col min="12807" max="12813" width="9.7109375" style="8" customWidth="1"/>
    <col min="12814" max="12814" width="10.140625" style="8" customWidth="1"/>
    <col min="12815" max="12820" width="9.7109375" style="8" customWidth="1"/>
    <col min="12821" max="12821" width="7.7109375" style="8" customWidth="1"/>
    <col min="12822" max="13056" width="12.7109375" style="8"/>
    <col min="13057" max="13057" width="4.5703125" style="8" customWidth="1"/>
    <col min="13058" max="13058" width="0" style="8" hidden="1" customWidth="1"/>
    <col min="13059" max="13061" width="5.85546875" style="8" customWidth="1"/>
    <col min="13062" max="13062" width="10.28515625" style="8" customWidth="1"/>
    <col min="13063" max="13069" width="9.7109375" style="8" customWidth="1"/>
    <col min="13070" max="13070" width="10.140625" style="8" customWidth="1"/>
    <col min="13071" max="13076" width="9.7109375" style="8" customWidth="1"/>
    <col min="13077" max="13077" width="7.7109375" style="8" customWidth="1"/>
    <col min="13078" max="13312" width="12.7109375" style="8"/>
    <col min="13313" max="13313" width="4.5703125" style="8" customWidth="1"/>
    <col min="13314" max="13314" width="0" style="8" hidden="1" customWidth="1"/>
    <col min="13315" max="13317" width="5.85546875" style="8" customWidth="1"/>
    <col min="13318" max="13318" width="10.28515625" style="8" customWidth="1"/>
    <col min="13319" max="13325" width="9.7109375" style="8" customWidth="1"/>
    <col min="13326" max="13326" width="10.140625" style="8" customWidth="1"/>
    <col min="13327" max="13332" width="9.7109375" style="8" customWidth="1"/>
    <col min="13333" max="13333" width="7.7109375" style="8" customWidth="1"/>
    <col min="13334" max="13568" width="12.7109375" style="8"/>
    <col min="13569" max="13569" width="4.5703125" style="8" customWidth="1"/>
    <col min="13570" max="13570" width="0" style="8" hidden="1" customWidth="1"/>
    <col min="13571" max="13573" width="5.85546875" style="8" customWidth="1"/>
    <col min="13574" max="13574" width="10.28515625" style="8" customWidth="1"/>
    <col min="13575" max="13581" width="9.7109375" style="8" customWidth="1"/>
    <col min="13582" max="13582" width="10.140625" style="8" customWidth="1"/>
    <col min="13583" max="13588" width="9.7109375" style="8" customWidth="1"/>
    <col min="13589" max="13589" width="7.7109375" style="8" customWidth="1"/>
    <col min="13590" max="13824" width="12.7109375" style="8"/>
    <col min="13825" max="13825" width="4.5703125" style="8" customWidth="1"/>
    <col min="13826" max="13826" width="0" style="8" hidden="1" customWidth="1"/>
    <col min="13827" max="13829" width="5.85546875" style="8" customWidth="1"/>
    <col min="13830" max="13830" width="10.28515625" style="8" customWidth="1"/>
    <col min="13831" max="13837" width="9.7109375" style="8" customWidth="1"/>
    <col min="13838" max="13838" width="10.140625" style="8" customWidth="1"/>
    <col min="13839" max="13844" width="9.7109375" style="8" customWidth="1"/>
    <col min="13845" max="13845" width="7.7109375" style="8" customWidth="1"/>
    <col min="13846" max="14080" width="12.7109375" style="8"/>
    <col min="14081" max="14081" width="4.5703125" style="8" customWidth="1"/>
    <col min="14082" max="14082" width="0" style="8" hidden="1" customWidth="1"/>
    <col min="14083" max="14085" width="5.85546875" style="8" customWidth="1"/>
    <col min="14086" max="14086" width="10.28515625" style="8" customWidth="1"/>
    <col min="14087" max="14093" width="9.7109375" style="8" customWidth="1"/>
    <col min="14094" max="14094" width="10.140625" style="8" customWidth="1"/>
    <col min="14095" max="14100" width="9.7109375" style="8" customWidth="1"/>
    <col min="14101" max="14101" width="7.7109375" style="8" customWidth="1"/>
    <col min="14102" max="14336" width="12.7109375" style="8"/>
    <col min="14337" max="14337" width="4.5703125" style="8" customWidth="1"/>
    <col min="14338" max="14338" width="0" style="8" hidden="1" customWidth="1"/>
    <col min="14339" max="14341" width="5.85546875" style="8" customWidth="1"/>
    <col min="14342" max="14342" width="10.28515625" style="8" customWidth="1"/>
    <col min="14343" max="14349" width="9.7109375" style="8" customWidth="1"/>
    <col min="14350" max="14350" width="10.140625" style="8" customWidth="1"/>
    <col min="14351" max="14356" width="9.7109375" style="8" customWidth="1"/>
    <col min="14357" max="14357" width="7.7109375" style="8" customWidth="1"/>
    <col min="14358" max="14592" width="12.7109375" style="8"/>
    <col min="14593" max="14593" width="4.5703125" style="8" customWidth="1"/>
    <col min="14594" max="14594" width="0" style="8" hidden="1" customWidth="1"/>
    <col min="14595" max="14597" width="5.85546875" style="8" customWidth="1"/>
    <col min="14598" max="14598" width="10.28515625" style="8" customWidth="1"/>
    <col min="14599" max="14605" width="9.7109375" style="8" customWidth="1"/>
    <col min="14606" max="14606" width="10.140625" style="8" customWidth="1"/>
    <col min="14607" max="14612" width="9.7109375" style="8" customWidth="1"/>
    <col min="14613" max="14613" width="7.7109375" style="8" customWidth="1"/>
    <col min="14614" max="14848" width="12.7109375" style="8"/>
    <col min="14849" max="14849" width="4.5703125" style="8" customWidth="1"/>
    <col min="14850" max="14850" width="0" style="8" hidden="1" customWidth="1"/>
    <col min="14851" max="14853" width="5.85546875" style="8" customWidth="1"/>
    <col min="14854" max="14854" width="10.28515625" style="8" customWidth="1"/>
    <col min="14855" max="14861" width="9.7109375" style="8" customWidth="1"/>
    <col min="14862" max="14862" width="10.140625" style="8" customWidth="1"/>
    <col min="14863" max="14868" width="9.7109375" style="8" customWidth="1"/>
    <col min="14869" max="14869" width="7.7109375" style="8" customWidth="1"/>
    <col min="14870" max="15104" width="12.7109375" style="8"/>
    <col min="15105" max="15105" width="4.5703125" style="8" customWidth="1"/>
    <col min="15106" max="15106" width="0" style="8" hidden="1" customWidth="1"/>
    <col min="15107" max="15109" width="5.85546875" style="8" customWidth="1"/>
    <col min="15110" max="15110" width="10.28515625" style="8" customWidth="1"/>
    <col min="15111" max="15117" width="9.7109375" style="8" customWidth="1"/>
    <col min="15118" max="15118" width="10.140625" style="8" customWidth="1"/>
    <col min="15119" max="15124" width="9.7109375" style="8" customWidth="1"/>
    <col min="15125" max="15125" width="7.7109375" style="8" customWidth="1"/>
    <col min="15126" max="15360" width="12.7109375" style="8"/>
    <col min="15361" max="15361" width="4.5703125" style="8" customWidth="1"/>
    <col min="15362" max="15362" width="0" style="8" hidden="1" customWidth="1"/>
    <col min="15363" max="15365" width="5.85546875" style="8" customWidth="1"/>
    <col min="15366" max="15366" width="10.28515625" style="8" customWidth="1"/>
    <col min="15367" max="15373" width="9.7109375" style="8" customWidth="1"/>
    <col min="15374" max="15374" width="10.140625" style="8" customWidth="1"/>
    <col min="15375" max="15380" width="9.7109375" style="8" customWidth="1"/>
    <col min="15381" max="15381" width="7.7109375" style="8" customWidth="1"/>
    <col min="15382" max="15616" width="12.7109375" style="8"/>
    <col min="15617" max="15617" width="4.5703125" style="8" customWidth="1"/>
    <col min="15618" max="15618" width="0" style="8" hidden="1" customWidth="1"/>
    <col min="15619" max="15621" width="5.85546875" style="8" customWidth="1"/>
    <col min="15622" max="15622" width="10.28515625" style="8" customWidth="1"/>
    <col min="15623" max="15629" width="9.7109375" style="8" customWidth="1"/>
    <col min="15630" max="15630" width="10.140625" style="8" customWidth="1"/>
    <col min="15631" max="15636" width="9.7109375" style="8" customWidth="1"/>
    <col min="15637" max="15637" width="7.7109375" style="8" customWidth="1"/>
    <col min="15638" max="15872" width="12.7109375" style="8"/>
    <col min="15873" max="15873" width="4.5703125" style="8" customWidth="1"/>
    <col min="15874" max="15874" width="0" style="8" hidden="1" customWidth="1"/>
    <col min="15875" max="15877" width="5.85546875" style="8" customWidth="1"/>
    <col min="15878" max="15878" width="10.28515625" style="8" customWidth="1"/>
    <col min="15879" max="15885" width="9.7109375" style="8" customWidth="1"/>
    <col min="15886" max="15886" width="10.140625" style="8" customWidth="1"/>
    <col min="15887" max="15892" width="9.7109375" style="8" customWidth="1"/>
    <col min="15893" max="15893" width="7.7109375" style="8" customWidth="1"/>
    <col min="15894" max="16128" width="12.7109375" style="8"/>
    <col min="16129" max="16129" width="4.5703125" style="8" customWidth="1"/>
    <col min="16130" max="16130" width="0" style="8" hidden="1" customWidth="1"/>
    <col min="16131" max="16133" width="5.85546875" style="8" customWidth="1"/>
    <col min="16134" max="16134" width="10.28515625" style="8" customWidth="1"/>
    <col min="16135" max="16141" width="9.7109375" style="8" customWidth="1"/>
    <col min="16142" max="16142" width="10.140625" style="8" customWidth="1"/>
    <col min="16143" max="16148" width="9.7109375" style="8" customWidth="1"/>
    <col min="16149" max="16149" width="7.7109375" style="8" customWidth="1"/>
    <col min="16150" max="16384" width="12.7109375" style="8"/>
  </cols>
  <sheetData>
    <row r="1" spans="1:21" ht="11.25" x14ac:dyDescent="0.2">
      <c r="A1" s="1" t="s">
        <v>73</v>
      </c>
      <c r="B1" s="2"/>
      <c r="C1" s="3"/>
      <c r="D1" s="3"/>
      <c r="E1" s="3"/>
      <c r="F1" s="3"/>
      <c r="G1" s="4"/>
      <c r="K1" s="3"/>
      <c r="L1" s="3"/>
      <c r="M1" s="3"/>
      <c r="N1" s="3"/>
      <c r="O1" s="3"/>
      <c r="P1" s="3"/>
      <c r="Q1" s="3"/>
      <c r="R1" s="3"/>
      <c r="S1" s="3"/>
      <c r="T1" s="6"/>
      <c r="U1" s="7"/>
    </row>
    <row r="2" spans="1:21" ht="11.25" x14ac:dyDescent="0.2">
      <c r="A2" s="1"/>
      <c r="B2" s="2"/>
      <c r="C2" s="3"/>
      <c r="D2" s="3"/>
      <c r="E2" s="3"/>
      <c r="F2" s="3"/>
      <c r="G2" s="4"/>
      <c r="K2" s="3"/>
      <c r="L2" s="3"/>
      <c r="M2" s="3"/>
      <c r="N2" s="3"/>
      <c r="O2" s="3"/>
      <c r="P2" s="3"/>
      <c r="Q2" s="3"/>
      <c r="R2" s="3"/>
      <c r="S2" s="3"/>
      <c r="T2" s="6"/>
      <c r="U2" s="7"/>
    </row>
    <row r="3" spans="1:21" ht="11.25" x14ac:dyDescent="0.2">
      <c r="A3" s="1" t="s">
        <v>0</v>
      </c>
      <c r="B3" s="2"/>
      <c r="C3" s="4"/>
      <c r="E3" s="4"/>
      <c r="G3" s="4"/>
      <c r="K3" s="6" t="s">
        <v>1</v>
      </c>
      <c r="L3" s="4"/>
      <c r="M3" s="4"/>
      <c r="N3" s="4"/>
      <c r="R3" s="10" t="s">
        <v>2</v>
      </c>
      <c r="S3" s="11"/>
      <c r="T3" s="11"/>
      <c r="U3" s="12"/>
    </row>
    <row r="4" spans="1:21" ht="11.25" x14ac:dyDescent="0.2">
      <c r="A4" s="13" t="s">
        <v>3</v>
      </c>
      <c r="B4" s="14"/>
      <c r="C4" s="15"/>
      <c r="D4" s="15"/>
      <c r="E4" s="15"/>
      <c r="F4" s="16">
        <v>17636000</v>
      </c>
      <c r="G4" s="4"/>
      <c r="K4" s="17" t="s">
        <v>4</v>
      </c>
      <c r="L4" s="17"/>
      <c r="M4" s="17"/>
      <c r="N4" s="18">
        <f>F6</f>
        <v>12000000</v>
      </c>
      <c r="R4" s="17" t="s">
        <v>5</v>
      </c>
      <c r="S4" s="19"/>
      <c r="T4" s="19"/>
      <c r="U4" s="16">
        <v>0</v>
      </c>
    </row>
    <row r="5" spans="1:21" ht="11.25" x14ac:dyDescent="0.2">
      <c r="A5" s="20" t="s">
        <v>6</v>
      </c>
      <c r="F5" s="22">
        <f>F4-F6</f>
        <v>5636000</v>
      </c>
      <c r="G5" s="4"/>
      <c r="K5" s="23" t="s">
        <v>7</v>
      </c>
      <c r="L5" s="12"/>
      <c r="M5" s="12"/>
      <c r="N5" s="22">
        <v>100000</v>
      </c>
      <c r="R5" s="23" t="s">
        <v>8</v>
      </c>
      <c r="S5" s="12"/>
      <c r="T5" s="12"/>
      <c r="U5" s="24">
        <v>662</v>
      </c>
    </row>
    <row r="6" spans="1:21" ht="11.25" x14ac:dyDescent="0.2">
      <c r="A6" s="25" t="s">
        <v>9</v>
      </c>
      <c r="B6" s="23"/>
      <c r="C6" s="12"/>
      <c r="D6" s="12"/>
      <c r="E6" s="12"/>
      <c r="F6" s="26">
        <v>12000000</v>
      </c>
      <c r="G6" s="4"/>
      <c r="K6" s="23" t="s">
        <v>10</v>
      </c>
      <c r="L6" s="12"/>
      <c r="M6" s="12"/>
      <c r="N6" s="27">
        <f>U6/3*2</f>
        <v>1.7999999999999999E-2</v>
      </c>
      <c r="R6" s="12" t="s">
        <v>11</v>
      </c>
      <c r="S6" s="12"/>
      <c r="T6" s="12"/>
      <c r="U6" s="28">
        <v>2.7E-2</v>
      </c>
    </row>
    <row r="7" spans="1:21" ht="11.25" x14ac:dyDescent="0.2">
      <c r="A7" s="25" t="s">
        <v>12</v>
      </c>
      <c r="B7" s="23"/>
      <c r="C7" s="12"/>
      <c r="D7" s="12"/>
      <c r="E7" s="12"/>
      <c r="F7" s="29">
        <v>30</v>
      </c>
      <c r="G7" s="4"/>
      <c r="K7" s="30" t="s">
        <v>13</v>
      </c>
      <c r="L7" s="30"/>
      <c r="M7" s="30"/>
      <c r="N7" s="31">
        <v>0</v>
      </c>
      <c r="R7" s="23" t="s">
        <v>14</v>
      </c>
      <c r="S7" s="12"/>
      <c r="T7" s="12"/>
      <c r="U7" s="32">
        <v>7200</v>
      </c>
    </row>
    <row r="8" spans="1:21" ht="11.25" x14ac:dyDescent="0.2">
      <c r="A8" s="25" t="s">
        <v>15</v>
      </c>
      <c r="B8" s="23"/>
      <c r="C8" s="12"/>
      <c r="D8" s="12"/>
      <c r="E8" s="12"/>
      <c r="F8" s="33">
        <v>0</v>
      </c>
      <c r="G8" s="4"/>
      <c r="K8" s="9"/>
      <c r="R8" s="34" t="s">
        <v>16</v>
      </c>
      <c r="S8" s="30"/>
      <c r="T8" s="30"/>
      <c r="U8" s="35">
        <v>42.31</v>
      </c>
    </row>
    <row r="9" spans="1:21" ht="11.25" x14ac:dyDescent="0.2">
      <c r="A9" s="36" t="s">
        <v>17</v>
      </c>
      <c r="B9" s="34"/>
      <c r="C9" s="30"/>
      <c r="D9" s="30"/>
      <c r="E9" s="30"/>
      <c r="F9" s="37">
        <f>-PMT(F8,F7,F6)</f>
        <v>400000</v>
      </c>
      <c r="H9" s="9"/>
      <c r="I9" s="9"/>
      <c r="J9" s="38"/>
      <c r="O9" s="9"/>
      <c r="P9" s="9"/>
      <c r="T9" s="9"/>
    </row>
    <row r="10" spans="1:21" ht="11.25" x14ac:dyDescent="0.2">
      <c r="A10" s="40"/>
      <c r="B10" s="9"/>
      <c r="F10" s="4"/>
      <c r="H10" s="9"/>
      <c r="I10" s="9"/>
      <c r="J10" s="38"/>
      <c r="K10" s="9"/>
      <c r="O10" s="9"/>
      <c r="P10" s="9"/>
      <c r="T10" s="9"/>
      <c r="U10" s="4"/>
    </row>
    <row r="11" spans="1:21" ht="11.25" x14ac:dyDescent="0.2">
      <c r="A11" s="41" t="s">
        <v>18</v>
      </c>
      <c r="B11" s="42"/>
      <c r="C11" s="12"/>
      <c r="D11" s="11"/>
      <c r="E11" s="43"/>
      <c r="F11" s="4"/>
      <c r="G11" s="4"/>
      <c r="L11" s="4"/>
      <c r="M11" s="4"/>
      <c r="N11" s="4"/>
      <c r="Q11" s="4"/>
      <c r="R11" s="4"/>
      <c r="S11" s="4"/>
    </row>
    <row r="12" spans="1:21" ht="11.25" x14ac:dyDescent="0.2">
      <c r="A12" s="44"/>
      <c r="B12" s="14"/>
      <c r="C12" s="45" t="s">
        <v>19</v>
      </c>
      <c r="D12" s="45" t="s">
        <v>20</v>
      </c>
      <c r="E12" s="45" t="s">
        <v>21</v>
      </c>
      <c r="F12" s="46"/>
      <c r="G12" s="46"/>
      <c r="H12" s="46"/>
      <c r="I12" s="46" t="s">
        <v>21</v>
      </c>
      <c r="J12" s="47" t="s">
        <v>22</v>
      </c>
      <c r="K12" s="46"/>
      <c r="L12" s="46"/>
      <c r="M12" s="46" t="s">
        <v>23</v>
      </c>
      <c r="N12" s="46"/>
      <c r="O12" s="46" t="s">
        <v>24</v>
      </c>
      <c r="P12" s="46"/>
      <c r="Q12" s="48"/>
      <c r="R12" s="46"/>
      <c r="S12" s="48"/>
      <c r="T12" s="46"/>
      <c r="U12" s="49" t="s">
        <v>25</v>
      </c>
    </row>
    <row r="13" spans="1:21" ht="11.25" x14ac:dyDescent="0.2">
      <c r="A13" s="50"/>
      <c r="B13" s="51"/>
      <c r="C13" s="52" t="s">
        <v>26</v>
      </c>
      <c r="D13" s="52" t="s">
        <v>19</v>
      </c>
      <c r="E13" s="52" t="s">
        <v>27</v>
      </c>
      <c r="F13" s="53" t="s">
        <v>28</v>
      </c>
      <c r="G13" s="53" t="s">
        <v>29</v>
      </c>
      <c r="H13" s="53" t="s">
        <v>21</v>
      </c>
      <c r="I13" s="53" t="s">
        <v>30</v>
      </c>
      <c r="J13" s="54" t="s">
        <v>30</v>
      </c>
      <c r="K13" s="53" t="s">
        <v>30</v>
      </c>
      <c r="L13" s="53" t="s">
        <v>31</v>
      </c>
      <c r="M13" s="53" t="s">
        <v>32</v>
      </c>
      <c r="N13" s="53" t="s">
        <v>31</v>
      </c>
      <c r="O13" s="53" t="s">
        <v>33</v>
      </c>
      <c r="P13" s="53" t="s">
        <v>34</v>
      </c>
      <c r="Q13" s="52" t="s">
        <v>21</v>
      </c>
      <c r="R13" s="53" t="s">
        <v>35</v>
      </c>
      <c r="S13" s="52" t="s">
        <v>36</v>
      </c>
      <c r="T13" s="53" t="s">
        <v>37</v>
      </c>
      <c r="U13" s="55" t="s">
        <v>38</v>
      </c>
    </row>
    <row r="14" spans="1:21" ht="11.25" x14ac:dyDescent="0.2">
      <c r="A14" s="56" t="s">
        <v>39</v>
      </c>
      <c r="B14" s="57"/>
      <c r="C14" s="58" t="s">
        <v>40</v>
      </c>
      <c r="D14" s="58" t="s">
        <v>41</v>
      </c>
      <c r="E14" s="58" t="s">
        <v>41</v>
      </c>
      <c r="F14" s="58" t="s">
        <v>42</v>
      </c>
      <c r="G14" s="58" t="s">
        <v>42</v>
      </c>
      <c r="H14" s="58" t="s">
        <v>42</v>
      </c>
      <c r="I14" s="59" t="s">
        <v>43</v>
      </c>
      <c r="J14" s="60" t="s">
        <v>43</v>
      </c>
      <c r="K14" s="59" t="s">
        <v>44</v>
      </c>
      <c r="L14" s="59" t="s">
        <v>45</v>
      </c>
      <c r="M14" s="59" t="s">
        <v>46</v>
      </c>
      <c r="N14" s="59" t="s">
        <v>45</v>
      </c>
      <c r="O14" s="59" t="s">
        <v>38</v>
      </c>
      <c r="P14" s="59" t="s">
        <v>47</v>
      </c>
      <c r="Q14" s="59" t="s">
        <v>47</v>
      </c>
      <c r="R14" s="59" t="s">
        <v>48</v>
      </c>
      <c r="S14" s="58" t="s">
        <v>49</v>
      </c>
      <c r="T14" s="59" t="s">
        <v>42</v>
      </c>
      <c r="U14" s="61" t="s">
        <v>50</v>
      </c>
    </row>
    <row r="15" spans="1:21" ht="11.25" x14ac:dyDescent="0.2">
      <c r="A15" s="62">
        <v>2007</v>
      </c>
      <c r="B15" s="63">
        <v>0</v>
      </c>
      <c r="C15" s="64">
        <f t="shared" ref="C15:C46" si="0">$U$6</f>
        <v>2.7E-2</v>
      </c>
      <c r="D15" s="65"/>
      <c r="E15" s="66">
        <f>U5</f>
        <v>662</v>
      </c>
      <c r="F15" s="67"/>
      <c r="G15" s="67"/>
      <c r="H15" s="67"/>
      <c r="I15" s="67"/>
      <c r="J15" s="68"/>
      <c r="K15" s="67">
        <v>0</v>
      </c>
      <c r="L15" s="67">
        <v>0</v>
      </c>
      <c r="M15" s="67">
        <v>0</v>
      </c>
      <c r="N15" s="67">
        <f>F6</f>
        <v>12000000</v>
      </c>
      <c r="O15" s="67">
        <f>N7</f>
        <v>0</v>
      </c>
      <c r="P15" s="68">
        <v>0</v>
      </c>
      <c r="Q15" s="67">
        <f>+I15+K15+P15+O15</f>
        <v>0</v>
      </c>
      <c r="R15" s="67">
        <v>0</v>
      </c>
      <c r="S15" s="67">
        <f t="shared" ref="S15:S46" si="1">+(H15+R15)-Q15</f>
        <v>0</v>
      </c>
      <c r="T15" s="67">
        <f t="shared" ref="T15:T46" si="2">+H15-(Q15)</f>
        <v>0</v>
      </c>
      <c r="U15" s="69">
        <v>0</v>
      </c>
    </row>
    <row r="16" spans="1:21" ht="11.25" x14ac:dyDescent="0.2">
      <c r="A16" s="70">
        <v>2008</v>
      </c>
      <c r="B16" s="71">
        <v>0</v>
      </c>
      <c r="C16" s="72">
        <f t="shared" si="0"/>
        <v>2.7E-2</v>
      </c>
      <c r="D16" s="73" t="str">
        <f t="shared" ref="D16:D46" si="3">FIXED(E15*C16,0)</f>
        <v>18</v>
      </c>
      <c r="E16" s="74">
        <f t="shared" ref="E16:E46" si="4">+E15+D16</f>
        <v>680</v>
      </c>
      <c r="F16" s="11">
        <v>0</v>
      </c>
      <c r="G16" s="11">
        <v>0</v>
      </c>
      <c r="H16" s="11">
        <f t="shared" ref="H16:H46" si="5">+F16+G16</f>
        <v>0</v>
      </c>
      <c r="I16" s="75">
        <v>0</v>
      </c>
      <c r="J16" s="75"/>
      <c r="K16" s="11">
        <v>0</v>
      </c>
      <c r="L16" s="11">
        <f>N15</f>
        <v>12000000</v>
      </c>
      <c r="M16" s="76"/>
      <c r="N16" s="11">
        <f>L16</f>
        <v>12000000</v>
      </c>
      <c r="O16" s="11">
        <f t="shared" ref="O16:O46" si="6">$O$15</f>
        <v>0</v>
      </c>
      <c r="P16" s="75">
        <v>0</v>
      </c>
      <c r="Q16" s="11">
        <f t="shared" ref="Q16:Q46" si="7">+I16+K16+P16+O16+M16</f>
        <v>0</v>
      </c>
      <c r="R16" s="11">
        <f t="shared" ref="R16:R46" si="8">+S15</f>
        <v>0</v>
      </c>
      <c r="S16" s="11">
        <f t="shared" si="1"/>
        <v>0</v>
      </c>
      <c r="T16" s="11">
        <f t="shared" si="2"/>
        <v>0</v>
      </c>
      <c r="U16" s="77"/>
    </row>
    <row r="17" spans="1:21" ht="11.25" x14ac:dyDescent="0.2">
      <c r="A17" s="70">
        <v>2009</v>
      </c>
      <c r="B17" s="71">
        <v>1</v>
      </c>
      <c r="C17" s="72">
        <f t="shared" si="0"/>
        <v>2.7E-2</v>
      </c>
      <c r="D17" s="73" t="str">
        <f t="shared" si="3"/>
        <v>18</v>
      </c>
      <c r="E17" s="74">
        <f t="shared" si="4"/>
        <v>698</v>
      </c>
      <c r="F17" s="11">
        <f t="shared" ref="F17:F46" si="9">(+$U$8*12)*E17</f>
        <v>354388.56</v>
      </c>
      <c r="G17" s="11">
        <f t="shared" ref="G17:G46" si="10">(+D17)*$U$7</f>
        <v>129600</v>
      </c>
      <c r="H17" s="11">
        <f t="shared" si="5"/>
        <v>483988.56</v>
      </c>
      <c r="I17" s="75">
        <f t="shared" ref="I17:I46" si="11">J17+M17</f>
        <v>300000</v>
      </c>
      <c r="J17" s="75">
        <v>300000</v>
      </c>
      <c r="K17" s="11">
        <v>45000</v>
      </c>
      <c r="L17" s="11">
        <f t="shared" ref="L17:L46" si="12">L16-I17</f>
        <v>11700000</v>
      </c>
      <c r="M17" s="76"/>
      <c r="N17" s="11">
        <f t="shared" ref="N17:N46" si="13">IF(N16-I17-M17&gt;0,N16-I17-M17,0)</f>
        <v>11700000</v>
      </c>
      <c r="O17" s="11">
        <f t="shared" si="6"/>
        <v>0</v>
      </c>
      <c r="P17" s="75">
        <f t="shared" ref="P17:P46" si="14">(N$5*(1+N$6)^B17)</f>
        <v>101800</v>
      </c>
      <c r="Q17" s="11">
        <f t="shared" si="7"/>
        <v>446800</v>
      </c>
      <c r="R17" s="11">
        <f t="shared" si="8"/>
        <v>0</v>
      </c>
      <c r="S17" s="11">
        <f t="shared" si="1"/>
        <v>37188.559999999998</v>
      </c>
      <c r="T17" s="11">
        <f t="shared" si="2"/>
        <v>37188.559999999998</v>
      </c>
      <c r="U17" s="78">
        <f t="shared" ref="U17:U44" si="15">(H17-P17)/(I17+M17+O17)</f>
        <v>1.2739618666666666</v>
      </c>
    </row>
    <row r="18" spans="1:21" ht="11.25" x14ac:dyDescent="0.2">
      <c r="A18" s="70">
        <v>2010</v>
      </c>
      <c r="B18" s="71">
        <v>2</v>
      </c>
      <c r="C18" s="72">
        <f t="shared" si="0"/>
        <v>2.7E-2</v>
      </c>
      <c r="D18" s="73" t="str">
        <f t="shared" si="3"/>
        <v>19</v>
      </c>
      <c r="E18" s="74">
        <f t="shared" si="4"/>
        <v>717</v>
      </c>
      <c r="F18" s="11">
        <f t="shared" si="9"/>
        <v>364035.24</v>
      </c>
      <c r="G18" s="11">
        <f t="shared" si="10"/>
        <v>136800</v>
      </c>
      <c r="H18" s="11">
        <f t="shared" si="5"/>
        <v>500835.24</v>
      </c>
      <c r="I18" s="75">
        <f t="shared" si="11"/>
        <v>310000</v>
      </c>
      <c r="J18" s="75">
        <v>310000</v>
      </c>
      <c r="K18" s="4">
        <f t="shared" ref="K18:K26" si="16">$K$17</f>
        <v>45000</v>
      </c>
      <c r="L18" s="11">
        <f t="shared" si="12"/>
        <v>11390000</v>
      </c>
      <c r="M18" s="76"/>
      <c r="N18" s="11">
        <f t="shared" si="13"/>
        <v>11390000</v>
      </c>
      <c r="O18" s="11">
        <f t="shared" si="6"/>
        <v>0</v>
      </c>
      <c r="P18" s="75">
        <f t="shared" si="14"/>
        <v>103632.40000000001</v>
      </c>
      <c r="Q18" s="11">
        <f t="shared" si="7"/>
        <v>458632.4</v>
      </c>
      <c r="R18" s="11">
        <f t="shared" si="8"/>
        <v>37188.559999999998</v>
      </c>
      <c r="S18" s="11">
        <f t="shared" si="1"/>
        <v>79391.400000000023</v>
      </c>
      <c r="T18" s="11">
        <f t="shared" si="2"/>
        <v>42202.839999999967</v>
      </c>
      <c r="U18" s="79">
        <f t="shared" si="15"/>
        <v>1.2812994838709677</v>
      </c>
    </row>
    <row r="19" spans="1:21" ht="11.25" x14ac:dyDescent="0.2">
      <c r="A19" s="70">
        <v>2011</v>
      </c>
      <c r="B19" s="71">
        <v>3</v>
      </c>
      <c r="C19" s="72">
        <f t="shared" si="0"/>
        <v>2.7E-2</v>
      </c>
      <c r="D19" s="73" t="str">
        <f t="shared" si="3"/>
        <v>19</v>
      </c>
      <c r="E19" s="74">
        <f t="shared" si="4"/>
        <v>736</v>
      </c>
      <c r="F19" s="11">
        <f t="shared" si="9"/>
        <v>373681.92000000004</v>
      </c>
      <c r="G19" s="11">
        <f t="shared" si="10"/>
        <v>136800</v>
      </c>
      <c r="H19" s="11">
        <f t="shared" si="5"/>
        <v>510481.92000000004</v>
      </c>
      <c r="I19" s="75">
        <f t="shared" si="11"/>
        <v>320000</v>
      </c>
      <c r="J19" s="75">
        <v>320000</v>
      </c>
      <c r="K19" s="4">
        <f t="shared" si="16"/>
        <v>45000</v>
      </c>
      <c r="L19" s="10">
        <f t="shared" si="12"/>
        <v>11070000</v>
      </c>
      <c r="M19" s="76"/>
      <c r="N19" s="11">
        <f t="shared" si="13"/>
        <v>11070000</v>
      </c>
      <c r="O19" s="11">
        <f t="shared" si="6"/>
        <v>0</v>
      </c>
      <c r="P19" s="75">
        <f t="shared" si="14"/>
        <v>105497.78320000001</v>
      </c>
      <c r="Q19" s="11">
        <f t="shared" si="7"/>
        <v>470497.78320000001</v>
      </c>
      <c r="R19" s="11">
        <f t="shared" si="8"/>
        <v>79391.400000000023</v>
      </c>
      <c r="S19" s="11">
        <f t="shared" si="1"/>
        <v>119375.53680000006</v>
      </c>
      <c r="T19" s="11">
        <f t="shared" si="2"/>
        <v>39984.136800000037</v>
      </c>
      <c r="U19" s="79">
        <f t="shared" si="15"/>
        <v>1.2655754275000002</v>
      </c>
    </row>
    <row r="20" spans="1:21" ht="11.25" x14ac:dyDescent="0.2">
      <c r="A20" s="70">
        <v>2012</v>
      </c>
      <c r="B20" s="71">
        <v>4</v>
      </c>
      <c r="C20" s="72">
        <f t="shared" si="0"/>
        <v>2.7E-2</v>
      </c>
      <c r="D20" s="73" t="str">
        <f t="shared" si="3"/>
        <v>20</v>
      </c>
      <c r="E20" s="74">
        <f t="shared" si="4"/>
        <v>756</v>
      </c>
      <c r="F20" s="11">
        <f t="shared" si="9"/>
        <v>383836.32</v>
      </c>
      <c r="G20" s="11">
        <f t="shared" si="10"/>
        <v>144000</v>
      </c>
      <c r="H20" s="11">
        <f t="shared" si="5"/>
        <v>527836.32000000007</v>
      </c>
      <c r="I20" s="80">
        <f t="shared" si="11"/>
        <v>330000</v>
      </c>
      <c r="J20" s="75">
        <v>330000</v>
      </c>
      <c r="K20" s="4">
        <f t="shared" si="16"/>
        <v>45000</v>
      </c>
      <c r="L20" s="11">
        <f t="shared" si="12"/>
        <v>10740000</v>
      </c>
      <c r="M20" s="76"/>
      <c r="N20" s="11">
        <f t="shared" si="13"/>
        <v>10740000</v>
      </c>
      <c r="O20" s="11">
        <f t="shared" si="6"/>
        <v>0</v>
      </c>
      <c r="P20" s="75">
        <f t="shared" si="14"/>
        <v>107396.74329760001</v>
      </c>
      <c r="Q20" s="11">
        <f t="shared" si="7"/>
        <v>482396.74329760001</v>
      </c>
      <c r="R20" s="11">
        <f t="shared" si="8"/>
        <v>119375.53680000006</v>
      </c>
      <c r="S20" s="11">
        <f t="shared" si="1"/>
        <v>164815.11350240017</v>
      </c>
      <c r="T20" s="11">
        <f t="shared" si="2"/>
        <v>45439.576702400052</v>
      </c>
      <c r="U20" s="79">
        <f t="shared" si="15"/>
        <v>1.2740593233406061</v>
      </c>
    </row>
    <row r="21" spans="1:21" ht="11.25" x14ac:dyDescent="0.2">
      <c r="A21" s="70">
        <v>2013</v>
      </c>
      <c r="B21" s="71">
        <v>5</v>
      </c>
      <c r="C21" s="72">
        <f t="shared" si="0"/>
        <v>2.7E-2</v>
      </c>
      <c r="D21" s="73" t="str">
        <f t="shared" si="3"/>
        <v>20</v>
      </c>
      <c r="E21" s="74">
        <f t="shared" si="4"/>
        <v>776</v>
      </c>
      <c r="F21" s="11">
        <f t="shared" si="9"/>
        <v>393990.72000000003</v>
      </c>
      <c r="G21" s="11">
        <f t="shared" si="10"/>
        <v>144000</v>
      </c>
      <c r="H21" s="11">
        <f t="shared" si="5"/>
        <v>537990.72</v>
      </c>
      <c r="I21" s="80">
        <f t="shared" si="11"/>
        <v>340000</v>
      </c>
      <c r="J21" s="75">
        <v>340000</v>
      </c>
      <c r="K21" s="4">
        <f t="shared" si="16"/>
        <v>45000</v>
      </c>
      <c r="L21" s="11">
        <f t="shared" si="12"/>
        <v>10400000</v>
      </c>
      <c r="M21" s="76"/>
      <c r="N21" s="11">
        <f t="shared" si="13"/>
        <v>10400000</v>
      </c>
      <c r="O21" s="11">
        <f t="shared" si="6"/>
        <v>0</v>
      </c>
      <c r="P21" s="75">
        <f t="shared" si="14"/>
        <v>109329.88467695682</v>
      </c>
      <c r="Q21" s="11">
        <f t="shared" si="7"/>
        <v>494329.8846769568</v>
      </c>
      <c r="R21" s="11">
        <f t="shared" si="8"/>
        <v>164815.11350240017</v>
      </c>
      <c r="S21" s="11">
        <f t="shared" si="1"/>
        <v>208475.9488254434</v>
      </c>
      <c r="T21" s="11">
        <f t="shared" si="2"/>
        <v>43660.835323043168</v>
      </c>
      <c r="U21" s="79">
        <f t="shared" si="15"/>
        <v>1.2607671627148329</v>
      </c>
    </row>
    <row r="22" spans="1:21" ht="11.25" x14ac:dyDescent="0.2">
      <c r="A22" s="70">
        <v>2014</v>
      </c>
      <c r="B22" s="71">
        <v>6</v>
      </c>
      <c r="C22" s="72">
        <f t="shared" si="0"/>
        <v>2.7E-2</v>
      </c>
      <c r="D22" s="73" t="str">
        <f t="shared" si="3"/>
        <v>21</v>
      </c>
      <c r="E22" s="74">
        <f t="shared" si="4"/>
        <v>797</v>
      </c>
      <c r="F22" s="11">
        <f t="shared" si="9"/>
        <v>404652.84</v>
      </c>
      <c r="G22" s="11">
        <f t="shared" si="10"/>
        <v>151200</v>
      </c>
      <c r="H22" s="11">
        <f t="shared" si="5"/>
        <v>555852.84000000008</v>
      </c>
      <c r="I22" s="80">
        <f t="shared" si="11"/>
        <v>350000</v>
      </c>
      <c r="J22" s="75">
        <v>350000</v>
      </c>
      <c r="K22" s="4">
        <f t="shared" si="16"/>
        <v>45000</v>
      </c>
      <c r="L22" s="11">
        <f t="shared" si="12"/>
        <v>10050000</v>
      </c>
      <c r="M22" s="76"/>
      <c r="N22" s="11">
        <f t="shared" si="13"/>
        <v>10050000</v>
      </c>
      <c r="O22" s="11">
        <f t="shared" si="6"/>
        <v>0</v>
      </c>
      <c r="P22" s="75">
        <f t="shared" si="14"/>
        <v>111297.82260114203</v>
      </c>
      <c r="Q22" s="11">
        <f t="shared" si="7"/>
        <v>506297.82260114205</v>
      </c>
      <c r="R22" s="11">
        <f t="shared" si="8"/>
        <v>208475.9488254434</v>
      </c>
      <c r="S22" s="11">
        <f t="shared" si="1"/>
        <v>258030.96622430143</v>
      </c>
      <c r="T22" s="11">
        <f t="shared" si="2"/>
        <v>49555.017398858035</v>
      </c>
      <c r="U22" s="79">
        <f t="shared" si="15"/>
        <v>1.2701571925681658</v>
      </c>
    </row>
    <row r="23" spans="1:21" ht="11.25" x14ac:dyDescent="0.2">
      <c r="A23" s="70">
        <v>2015</v>
      </c>
      <c r="B23" s="71">
        <v>7</v>
      </c>
      <c r="C23" s="72">
        <f t="shared" si="0"/>
        <v>2.7E-2</v>
      </c>
      <c r="D23" s="73" t="str">
        <f t="shared" si="3"/>
        <v>22</v>
      </c>
      <c r="E23" s="74">
        <f t="shared" si="4"/>
        <v>819</v>
      </c>
      <c r="F23" s="11">
        <f t="shared" si="9"/>
        <v>415822.68000000005</v>
      </c>
      <c r="G23" s="11">
        <f t="shared" si="10"/>
        <v>158400</v>
      </c>
      <c r="H23" s="11">
        <f t="shared" si="5"/>
        <v>574222.68000000005</v>
      </c>
      <c r="I23" s="80">
        <f t="shared" si="11"/>
        <v>355000</v>
      </c>
      <c r="J23" s="75">
        <v>355000</v>
      </c>
      <c r="K23" s="4">
        <f t="shared" si="16"/>
        <v>45000</v>
      </c>
      <c r="L23" s="11">
        <f t="shared" si="12"/>
        <v>9695000</v>
      </c>
      <c r="M23" s="76"/>
      <c r="N23" s="11">
        <f t="shared" si="13"/>
        <v>9695000</v>
      </c>
      <c r="O23" s="11">
        <f t="shared" si="6"/>
        <v>0</v>
      </c>
      <c r="P23" s="75">
        <f t="shared" si="14"/>
        <v>113301.1834079626</v>
      </c>
      <c r="Q23" s="11">
        <f t="shared" si="7"/>
        <v>513301.18340796261</v>
      </c>
      <c r="R23" s="11">
        <f t="shared" si="8"/>
        <v>258030.96622430143</v>
      </c>
      <c r="S23" s="11">
        <f t="shared" si="1"/>
        <v>318952.46281633893</v>
      </c>
      <c r="T23" s="11">
        <f t="shared" si="2"/>
        <v>60921.496592037438</v>
      </c>
      <c r="U23" s="79">
        <f t="shared" si="15"/>
        <v>1.2983704129353166</v>
      </c>
    </row>
    <row r="24" spans="1:21" ht="11.25" x14ac:dyDescent="0.2">
      <c r="A24" s="70">
        <v>2016</v>
      </c>
      <c r="B24" s="71">
        <v>8</v>
      </c>
      <c r="C24" s="72">
        <f t="shared" si="0"/>
        <v>2.7E-2</v>
      </c>
      <c r="D24" s="73" t="str">
        <f t="shared" si="3"/>
        <v>22</v>
      </c>
      <c r="E24" s="74">
        <f t="shared" si="4"/>
        <v>841</v>
      </c>
      <c r="F24" s="11">
        <f t="shared" si="9"/>
        <v>426992.52</v>
      </c>
      <c r="G24" s="11">
        <f t="shared" si="10"/>
        <v>158400</v>
      </c>
      <c r="H24" s="11">
        <f t="shared" si="5"/>
        <v>585392.52</v>
      </c>
      <c r="I24" s="80">
        <f t="shared" si="11"/>
        <v>360000</v>
      </c>
      <c r="J24" s="75">
        <v>360000</v>
      </c>
      <c r="K24" s="4">
        <f t="shared" si="16"/>
        <v>45000</v>
      </c>
      <c r="L24" s="11">
        <f t="shared" si="12"/>
        <v>9335000</v>
      </c>
      <c r="M24" s="76"/>
      <c r="N24" s="11">
        <f t="shared" si="13"/>
        <v>9335000</v>
      </c>
      <c r="O24" s="11">
        <f t="shared" si="6"/>
        <v>0</v>
      </c>
      <c r="P24" s="75">
        <f t="shared" si="14"/>
        <v>115340.60470930592</v>
      </c>
      <c r="Q24" s="11">
        <f t="shared" si="7"/>
        <v>520340.60470930592</v>
      </c>
      <c r="R24" s="11">
        <f t="shared" si="8"/>
        <v>318952.46281633893</v>
      </c>
      <c r="S24" s="11">
        <f t="shared" si="1"/>
        <v>384004.37810703309</v>
      </c>
      <c r="T24" s="11">
        <f t="shared" si="2"/>
        <v>65051.915290694102</v>
      </c>
      <c r="U24" s="79">
        <f t="shared" si="15"/>
        <v>1.3056997646963726</v>
      </c>
    </row>
    <row r="25" spans="1:21" s="81" customFormat="1" ht="11.25" x14ac:dyDescent="0.2">
      <c r="A25" s="70">
        <v>2017</v>
      </c>
      <c r="B25" s="71">
        <v>9</v>
      </c>
      <c r="C25" s="72">
        <f t="shared" si="0"/>
        <v>2.7E-2</v>
      </c>
      <c r="D25" s="73" t="str">
        <f t="shared" si="3"/>
        <v>23</v>
      </c>
      <c r="E25" s="74">
        <f t="shared" si="4"/>
        <v>864</v>
      </c>
      <c r="F25" s="11">
        <f t="shared" si="9"/>
        <v>438670.08000000002</v>
      </c>
      <c r="G25" s="11">
        <f t="shared" si="10"/>
        <v>165600</v>
      </c>
      <c r="H25" s="11">
        <f t="shared" si="5"/>
        <v>604270.08000000007</v>
      </c>
      <c r="I25" s="80">
        <f t="shared" si="11"/>
        <v>365000</v>
      </c>
      <c r="J25" s="75">
        <v>365000</v>
      </c>
      <c r="K25" s="4">
        <f t="shared" si="16"/>
        <v>45000</v>
      </c>
      <c r="L25" s="11">
        <f t="shared" si="12"/>
        <v>8970000</v>
      </c>
      <c r="M25" s="76"/>
      <c r="N25" s="11">
        <f t="shared" si="13"/>
        <v>8970000</v>
      </c>
      <c r="O25" s="11">
        <f t="shared" si="6"/>
        <v>0</v>
      </c>
      <c r="P25" s="75">
        <f t="shared" si="14"/>
        <v>117416.73559407341</v>
      </c>
      <c r="Q25" s="11">
        <f t="shared" si="7"/>
        <v>527416.73559407343</v>
      </c>
      <c r="R25" s="11">
        <f t="shared" si="8"/>
        <v>384004.37810703309</v>
      </c>
      <c r="S25" s="11">
        <f t="shared" si="1"/>
        <v>460857.72251295974</v>
      </c>
      <c r="T25" s="11">
        <f t="shared" si="2"/>
        <v>76853.344405926648</v>
      </c>
      <c r="U25" s="79">
        <f t="shared" si="15"/>
        <v>1.3338447791943195</v>
      </c>
    </row>
    <row r="26" spans="1:21" ht="11.25" x14ac:dyDescent="0.2">
      <c r="A26" s="70">
        <v>2018</v>
      </c>
      <c r="B26" s="71">
        <v>10</v>
      </c>
      <c r="C26" s="72">
        <f t="shared" si="0"/>
        <v>2.7E-2</v>
      </c>
      <c r="D26" s="73" t="str">
        <f t="shared" si="3"/>
        <v>23</v>
      </c>
      <c r="E26" s="74">
        <f t="shared" si="4"/>
        <v>887</v>
      </c>
      <c r="F26" s="11">
        <f t="shared" si="9"/>
        <v>450347.64</v>
      </c>
      <c r="G26" s="11">
        <f t="shared" si="10"/>
        <v>165600</v>
      </c>
      <c r="H26" s="11">
        <f t="shared" si="5"/>
        <v>615947.64</v>
      </c>
      <c r="I26" s="80">
        <f t="shared" si="11"/>
        <v>370000</v>
      </c>
      <c r="J26" s="75">
        <v>370000</v>
      </c>
      <c r="K26" s="4">
        <f t="shared" si="16"/>
        <v>45000</v>
      </c>
      <c r="L26" s="11">
        <f t="shared" si="12"/>
        <v>8600000</v>
      </c>
      <c r="M26" s="76"/>
      <c r="N26" s="11">
        <f t="shared" si="13"/>
        <v>8600000</v>
      </c>
      <c r="O26" s="11">
        <f t="shared" si="6"/>
        <v>0</v>
      </c>
      <c r="P26" s="75">
        <f t="shared" si="14"/>
        <v>119530.23683476675</v>
      </c>
      <c r="Q26" s="11">
        <f t="shared" si="7"/>
        <v>534530.23683476681</v>
      </c>
      <c r="R26" s="11">
        <f t="shared" si="8"/>
        <v>460857.72251295974</v>
      </c>
      <c r="S26" s="11">
        <f t="shared" si="1"/>
        <v>542275.12567819282</v>
      </c>
      <c r="T26" s="11">
        <f t="shared" si="2"/>
        <v>81417.403165233205</v>
      </c>
      <c r="U26" s="79">
        <f t="shared" si="15"/>
        <v>1.3416686572033332</v>
      </c>
    </row>
    <row r="27" spans="1:21" ht="11.25" x14ac:dyDescent="0.2">
      <c r="A27" s="70">
        <v>2019</v>
      </c>
      <c r="B27" s="71">
        <v>11</v>
      </c>
      <c r="C27" s="72">
        <f t="shared" si="0"/>
        <v>2.7E-2</v>
      </c>
      <c r="D27" s="73" t="str">
        <f t="shared" si="3"/>
        <v>24</v>
      </c>
      <c r="E27" s="74">
        <f t="shared" si="4"/>
        <v>911</v>
      </c>
      <c r="F27" s="11">
        <f t="shared" si="9"/>
        <v>462532.92000000004</v>
      </c>
      <c r="G27" s="11">
        <f t="shared" si="10"/>
        <v>172800</v>
      </c>
      <c r="H27" s="11">
        <f t="shared" si="5"/>
        <v>635332.92000000004</v>
      </c>
      <c r="I27" s="80">
        <f t="shared" si="11"/>
        <v>375000</v>
      </c>
      <c r="J27" s="75">
        <v>375000</v>
      </c>
      <c r="L27" s="11">
        <f t="shared" si="12"/>
        <v>8225000</v>
      </c>
      <c r="M27" s="76"/>
      <c r="N27" s="11">
        <f t="shared" si="13"/>
        <v>8225000</v>
      </c>
      <c r="O27" s="11">
        <f t="shared" si="6"/>
        <v>0</v>
      </c>
      <c r="P27" s="75">
        <f t="shared" si="14"/>
        <v>121681.78109779255</v>
      </c>
      <c r="Q27" s="11">
        <f t="shared" si="7"/>
        <v>496681.78109779255</v>
      </c>
      <c r="R27" s="11">
        <f t="shared" si="8"/>
        <v>542275.12567819282</v>
      </c>
      <c r="S27" s="11">
        <f t="shared" si="1"/>
        <v>680926.26458040019</v>
      </c>
      <c r="T27" s="11">
        <f t="shared" si="2"/>
        <v>138651.13890220749</v>
      </c>
      <c r="U27" s="79">
        <f t="shared" si="15"/>
        <v>1.3697363704058867</v>
      </c>
    </row>
    <row r="28" spans="1:21" s="82" customFormat="1" ht="11.25" x14ac:dyDescent="0.2">
      <c r="A28" s="70">
        <v>2020</v>
      </c>
      <c r="B28" s="71">
        <v>12</v>
      </c>
      <c r="C28" s="72">
        <f t="shared" si="0"/>
        <v>2.7E-2</v>
      </c>
      <c r="D28" s="73" t="str">
        <f t="shared" si="3"/>
        <v>25</v>
      </c>
      <c r="E28" s="74">
        <f t="shared" si="4"/>
        <v>936</v>
      </c>
      <c r="F28" s="11">
        <f t="shared" si="9"/>
        <v>475225.92000000004</v>
      </c>
      <c r="G28" s="11">
        <f t="shared" si="10"/>
        <v>180000</v>
      </c>
      <c r="H28" s="11">
        <f t="shared" si="5"/>
        <v>655225.92000000004</v>
      </c>
      <c r="I28" s="80">
        <f t="shared" si="11"/>
        <v>380000</v>
      </c>
      <c r="J28" s="75">
        <v>380000</v>
      </c>
      <c r="K28" s="4"/>
      <c r="L28" s="11">
        <f t="shared" si="12"/>
        <v>7845000</v>
      </c>
      <c r="M28" s="76"/>
      <c r="N28" s="11">
        <f t="shared" si="13"/>
        <v>7845000</v>
      </c>
      <c r="O28" s="11">
        <f t="shared" si="6"/>
        <v>0</v>
      </c>
      <c r="P28" s="75">
        <f t="shared" si="14"/>
        <v>123872.05315755281</v>
      </c>
      <c r="Q28" s="11">
        <f t="shared" si="7"/>
        <v>503872.05315755284</v>
      </c>
      <c r="R28" s="11">
        <f t="shared" si="8"/>
        <v>680926.26458040019</v>
      </c>
      <c r="S28" s="11">
        <f t="shared" si="1"/>
        <v>832280.13142284728</v>
      </c>
      <c r="T28" s="11">
        <f t="shared" si="2"/>
        <v>151353.8668424472</v>
      </c>
      <c r="U28" s="79">
        <f t="shared" si="15"/>
        <v>1.3982996495853874</v>
      </c>
    </row>
    <row r="29" spans="1:21" ht="11.25" x14ac:dyDescent="0.2">
      <c r="A29" s="70">
        <v>2021</v>
      </c>
      <c r="B29" s="71">
        <v>13</v>
      </c>
      <c r="C29" s="72">
        <f t="shared" si="0"/>
        <v>2.7E-2</v>
      </c>
      <c r="D29" s="73" t="str">
        <f t="shared" si="3"/>
        <v>25</v>
      </c>
      <c r="E29" s="74">
        <f t="shared" si="4"/>
        <v>961</v>
      </c>
      <c r="F29" s="11">
        <f t="shared" si="9"/>
        <v>487918.92000000004</v>
      </c>
      <c r="G29" s="11">
        <f t="shared" si="10"/>
        <v>180000</v>
      </c>
      <c r="H29" s="11">
        <f t="shared" si="5"/>
        <v>667918.92000000004</v>
      </c>
      <c r="I29" s="80">
        <f t="shared" si="11"/>
        <v>385000</v>
      </c>
      <c r="J29" s="75">
        <v>385000</v>
      </c>
      <c r="L29" s="11">
        <f t="shared" si="12"/>
        <v>7460000</v>
      </c>
      <c r="M29" s="76"/>
      <c r="N29" s="11">
        <f t="shared" si="13"/>
        <v>7460000</v>
      </c>
      <c r="O29" s="11">
        <f t="shared" si="6"/>
        <v>0</v>
      </c>
      <c r="P29" s="75">
        <f t="shared" si="14"/>
        <v>126101.75011438878</v>
      </c>
      <c r="Q29" s="11">
        <f t="shared" si="7"/>
        <v>511101.75011438876</v>
      </c>
      <c r="R29" s="11">
        <f t="shared" si="8"/>
        <v>832280.13142284728</v>
      </c>
      <c r="S29" s="11">
        <f t="shared" si="1"/>
        <v>989097.30130845867</v>
      </c>
      <c r="T29" s="11">
        <f t="shared" si="2"/>
        <v>156817.16988561128</v>
      </c>
      <c r="U29" s="79">
        <f t="shared" si="15"/>
        <v>1.4073173243782111</v>
      </c>
    </row>
    <row r="30" spans="1:21" ht="11.25" x14ac:dyDescent="0.2">
      <c r="A30" s="70">
        <v>2022</v>
      </c>
      <c r="B30" s="71">
        <v>14</v>
      </c>
      <c r="C30" s="72">
        <f t="shared" si="0"/>
        <v>2.7E-2</v>
      </c>
      <c r="D30" s="73" t="str">
        <f t="shared" si="3"/>
        <v>26</v>
      </c>
      <c r="E30" s="74">
        <f t="shared" si="4"/>
        <v>987</v>
      </c>
      <c r="F30" s="11">
        <f t="shared" si="9"/>
        <v>501119.64</v>
      </c>
      <c r="G30" s="11">
        <f t="shared" si="10"/>
        <v>187200</v>
      </c>
      <c r="H30" s="11">
        <f t="shared" si="5"/>
        <v>688319.64</v>
      </c>
      <c r="I30" s="80">
        <f t="shared" si="11"/>
        <v>390000</v>
      </c>
      <c r="J30" s="75">
        <v>390000</v>
      </c>
      <c r="L30" s="11">
        <f t="shared" si="12"/>
        <v>7070000</v>
      </c>
      <c r="M30" s="76"/>
      <c r="N30" s="11">
        <f t="shared" si="13"/>
        <v>7070000</v>
      </c>
      <c r="O30" s="11">
        <f t="shared" si="6"/>
        <v>0</v>
      </c>
      <c r="P30" s="75">
        <f t="shared" si="14"/>
        <v>128371.58161644777</v>
      </c>
      <c r="Q30" s="11">
        <f t="shared" si="7"/>
        <v>518371.58161644777</v>
      </c>
      <c r="R30" s="11">
        <f t="shared" si="8"/>
        <v>989097.30130845867</v>
      </c>
      <c r="S30" s="11">
        <f t="shared" si="1"/>
        <v>1159045.359692011</v>
      </c>
      <c r="T30" s="11">
        <f t="shared" si="2"/>
        <v>169948.05838355224</v>
      </c>
      <c r="U30" s="79">
        <f t="shared" si="15"/>
        <v>1.4357642522655185</v>
      </c>
    </row>
    <row r="31" spans="1:21" ht="11.25" x14ac:dyDescent="0.2">
      <c r="A31" s="70">
        <v>2023</v>
      </c>
      <c r="B31" s="71">
        <v>15</v>
      </c>
      <c r="C31" s="72">
        <f t="shared" si="0"/>
        <v>2.7E-2</v>
      </c>
      <c r="D31" s="73" t="str">
        <f t="shared" si="3"/>
        <v>27</v>
      </c>
      <c r="E31" s="74">
        <f t="shared" si="4"/>
        <v>1014</v>
      </c>
      <c r="F31" s="11">
        <f t="shared" si="9"/>
        <v>514828.08</v>
      </c>
      <c r="G31" s="11">
        <f t="shared" si="10"/>
        <v>194400</v>
      </c>
      <c r="H31" s="11">
        <f t="shared" si="5"/>
        <v>709228.08000000007</v>
      </c>
      <c r="I31" s="80">
        <f t="shared" si="11"/>
        <v>395000</v>
      </c>
      <c r="J31" s="75">
        <v>395000</v>
      </c>
      <c r="L31" s="11">
        <f t="shared" si="12"/>
        <v>6675000</v>
      </c>
      <c r="M31" s="76"/>
      <c r="N31" s="11">
        <f t="shared" si="13"/>
        <v>6675000</v>
      </c>
      <c r="O31" s="11">
        <f t="shared" si="6"/>
        <v>0</v>
      </c>
      <c r="P31" s="75">
        <f t="shared" si="14"/>
        <v>130682.27008554385</v>
      </c>
      <c r="Q31" s="11">
        <f t="shared" si="7"/>
        <v>525682.27008554386</v>
      </c>
      <c r="R31" s="11">
        <f t="shared" si="8"/>
        <v>1159045.359692011</v>
      </c>
      <c r="S31" s="11">
        <f t="shared" si="1"/>
        <v>1342591.1696064672</v>
      </c>
      <c r="T31" s="11">
        <f t="shared" si="2"/>
        <v>183545.80991445621</v>
      </c>
      <c r="U31" s="79">
        <f t="shared" si="15"/>
        <v>1.4646729364922941</v>
      </c>
    </row>
    <row r="32" spans="1:21" s="81" customFormat="1" ht="11.25" x14ac:dyDescent="0.2">
      <c r="A32" s="70">
        <v>2024</v>
      </c>
      <c r="B32" s="71">
        <v>16</v>
      </c>
      <c r="C32" s="72">
        <f t="shared" si="0"/>
        <v>2.7E-2</v>
      </c>
      <c r="D32" s="73" t="str">
        <f t="shared" si="3"/>
        <v>27</v>
      </c>
      <c r="E32" s="74">
        <f t="shared" si="4"/>
        <v>1041</v>
      </c>
      <c r="F32" s="11">
        <f t="shared" si="9"/>
        <v>528536.52</v>
      </c>
      <c r="G32" s="11">
        <f t="shared" si="10"/>
        <v>194400</v>
      </c>
      <c r="H32" s="11">
        <f t="shared" si="5"/>
        <v>722936.52</v>
      </c>
      <c r="I32" s="80">
        <f t="shared" si="11"/>
        <v>400000</v>
      </c>
      <c r="J32" s="75">
        <v>400000</v>
      </c>
      <c r="K32" s="4"/>
      <c r="L32" s="11">
        <f t="shared" si="12"/>
        <v>6275000</v>
      </c>
      <c r="M32" s="76"/>
      <c r="N32" s="11">
        <f t="shared" si="13"/>
        <v>6275000</v>
      </c>
      <c r="O32" s="11">
        <f t="shared" si="6"/>
        <v>0</v>
      </c>
      <c r="P32" s="75">
        <f t="shared" si="14"/>
        <v>133034.55094708363</v>
      </c>
      <c r="Q32" s="11">
        <f t="shared" si="7"/>
        <v>533034.55094708363</v>
      </c>
      <c r="R32" s="11">
        <f t="shared" si="8"/>
        <v>1342591.1696064672</v>
      </c>
      <c r="S32" s="11">
        <f t="shared" si="1"/>
        <v>1532493.1386593836</v>
      </c>
      <c r="T32" s="11">
        <f t="shared" si="2"/>
        <v>189901.96905291639</v>
      </c>
      <c r="U32" s="79">
        <f t="shared" si="15"/>
        <v>1.4747549226322909</v>
      </c>
    </row>
    <row r="33" spans="1:21" ht="11.25" x14ac:dyDescent="0.2">
      <c r="A33" s="70">
        <v>2025</v>
      </c>
      <c r="B33" s="71">
        <v>17</v>
      </c>
      <c r="C33" s="72">
        <f t="shared" si="0"/>
        <v>2.7E-2</v>
      </c>
      <c r="D33" s="73" t="str">
        <f t="shared" si="3"/>
        <v>28</v>
      </c>
      <c r="E33" s="74">
        <f t="shared" si="4"/>
        <v>1069</v>
      </c>
      <c r="F33" s="11">
        <f t="shared" si="9"/>
        <v>542752.68000000005</v>
      </c>
      <c r="G33" s="11">
        <f t="shared" si="10"/>
        <v>201600</v>
      </c>
      <c r="H33" s="11">
        <f t="shared" si="5"/>
        <v>744352.68</v>
      </c>
      <c r="I33" s="80">
        <f t="shared" si="11"/>
        <v>405000</v>
      </c>
      <c r="J33" s="75">
        <v>405000</v>
      </c>
      <c r="L33" s="11">
        <f t="shared" si="12"/>
        <v>5870000</v>
      </c>
      <c r="M33" s="76"/>
      <c r="N33" s="11">
        <f t="shared" si="13"/>
        <v>5870000</v>
      </c>
      <c r="O33" s="11">
        <f t="shared" si="6"/>
        <v>0</v>
      </c>
      <c r="P33" s="75">
        <f t="shared" si="14"/>
        <v>135429.17286413113</v>
      </c>
      <c r="Q33" s="11">
        <f t="shared" si="7"/>
        <v>540429.17286413116</v>
      </c>
      <c r="R33" s="11">
        <f t="shared" si="8"/>
        <v>1532493.1386593836</v>
      </c>
      <c r="S33" s="11">
        <f t="shared" si="1"/>
        <v>1736416.6457952526</v>
      </c>
      <c r="T33" s="11">
        <f t="shared" si="2"/>
        <v>203923.50713586889</v>
      </c>
      <c r="U33" s="79">
        <f t="shared" si="15"/>
        <v>1.5035148324342442</v>
      </c>
    </row>
    <row r="34" spans="1:21" ht="11.25" x14ac:dyDescent="0.2">
      <c r="A34" s="70">
        <v>2026</v>
      </c>
      <c r="B34" s="71">
        <v>18</v>
      </c>
      <c r="C34" s="72">
        <f t="shared" si="0"/>
        <v>2.7E-2</v>
      </c>
      <c r="D34" s="73" t="str">
        <f t="shared" si="3"/>
        <v>29</v>
      </c>
      <c r="E34" s="74">
        <f t="shared" si="4"/>
        <v>1098</v>
      </c>
      <c r="F34" s="11">
        <f t="shared" si="9"/>
        <v>557476.56000000006</v>
      </c>
      <c r="G34" s="11">
        <f t="shared" si="10"/>
        <v>208800</v>
      </c>
      <c r="H34" s="11">
        <f t="shared" si="5"/>
        <v>766276.56</v>
      </c>
      <c r="I34" s="80">
        <f t="shared" si="11"/>
        <v>410000</v>
      </c>
      <c r="J34" s="75">
        <v>410000</v>
      </c>
      <c r="L34" s="11">
        <f t="shared" si="12"/>
        <v>5460000</v>
      </c>
      <c r="M34" s="76"/>
      <c r="N34" s="11">
        <f t="shared" si="13"/>
        <v>5460000</v>
      </c>
      <c r="O34" s="11">
        <f t="shared" si="6"/>
        <v>0</v>
      </c>
      <c r="P34" s="75">
        <f t="shared" si="14"/>
        <v>137866.89797568551</v>
      </c>
      <c r="Q34" s="11">
        <f t="shared" si="7"/>
        <v>547866.89797568554</v>
      </c>
      <c r="R34" s="11">
        <f t="shared" si="8"/>
        <v>1736416.6457952526</v>
      </c>
      <c r="S34" s="11">
        <f t="shared" si="1"/>
        <v>1954826.3078195672</v>
      </c>
      <c r="T34" s="11">
        <f t="shared" si="2"/>
        <v>218409.66202431452</v>
      </c>
      <c r="U34" s="79">
        <f t="shared" si="15"/>
        <v>1.5327064927422305</v>
      </c>
    </row>
    <row r="35" spans="1:21" s="81" customFormat="1" ht="11.25" x14ac:dyDescent="0.2">
      <c r="A35" s="70">
        <v>2027</v>
      </c>
      <c r="B35" s="71">
        <v>19</v>
      </c>
      <c r="C35" s="72">
        <f t="shared" si="0"/>
        <v>2.7E-2</v>
      </c>
      <c r="D35" s="73" t="str">
        <f t="shared" si="3"/>
        <v>30</v>
      </c>
      <c r="E35" s="74">
        <f t="shared" si="4"/>
        <v>1128</v>
      </c>
      <c r="F35" s="11">
        <f t="shared" si="9"/>
        <v>572708.16</v>
      </c>
      <c r="G35" s="11">
        <f t="shared" si="10"/>
        <v>216000</v>
      </c>
      <c r="H35" s="11">
        <f t="shared" si="5"/>
        <v>788708.16</v>
      </c>
      <c r="I35" s="80">
        <f t="shared" si="11"/>
        <v>415000</v>
      </c>
      <c r="J35" s="75">
        <v>415000</v>
      </c>
      <c r="K35" s="4"/>
      <c r="L35" s="11">
        <f t="shared" si="12"/>
        <v>5045000</v>
      </c>
      <c r="M35" s="76"/>
      <c r="N35" s="11">
        <f t="shared" si="13"/>
        <v>5045000</v>
      </c>
      <c r="O35" s="11">
        <f t="shared" si="6"/>
        <v>0</v>
      </c>
      <c r="P35" s="75">
        <f t="shared" si="14"/>
        <v>140348.50213924784</v>
      </c>
      <c r="Q35" s="11">
        <f t="shared" si="7"/>
        <v>555348.50213924784</v>
      </c>
      <c r="R35" s="11">
        <f t="shared" si="8"/>
        <v>1954826.3078195672</v>
      </c>
      <c r="S35" s="11">
        <f t="shared" si="1"/>
        <v>2188185.9656803194</v>
      </c>
      <c r="T35" s="11">
        <f t="shared" si="2"/>
        <v>233359.6578607522</v>
      </c>
      <c r="U35" s="79">
        <f t="shared" si="15"/>
        <v>1.5623124285801258</v>
      </c>
    </row>
    <row r="36" spans="1:21" ht="11.25" x14ac:dyDescent="0.2">
      <c r="A36" s="70">
        <v>2028</v>
      </c>
      <c r="B36" s="71">
        <v>20</v>
      </c>
      <c r="C36" s="72">
        <f t="shared" si="0"/>
        <v>2.7E-2</v>
      </c>
      <c r="D36" s="73" t="str">
        <f t="shared" si="3"/>
        <v>30</v>
      </c>
      <c r="E36" s="74">
        <f t="shared" si="4"/>
        <v>1158</v>
      </c>
      <c r="F36" s="11">
        <f t="shared" si="9"/>
        <v>587939.76</v>
      </c>
      <c r="G36" s="11">
        <f t="shared" si="10"/>
        <v>216000</v>
      </c>
      <c r="H36" s="11">
        <f t="shared" si="5"/>
        <v>803939.76</v>
      </c>
      <c r="I36" s="80">
        <f t="shared" si="11"/>
        <v>420000</v>
      </c>
      <c r="J36" s="75">
        <v>420000</v>
      </c>
      <c r="L36" s="11">
        <f t="shared" si="12"/>
        <v>4625000</v>
      </c>
      <c r="M36" s="76"/>
      <c r="N36" s="11">
        <f t="shared" si="13"/>
        <v>4625000</v>
      </c>
      <c r="O36" s="11">
        <f t="shared" si="6"/>
        <v>0</v>
      </c>
      <c r="P36" s="75">
        <f t="shared" si="14"/>
        <v>142874.77517775432</v>
      </c>
      <c r="Q36" s="11">
        <f t="shared" si="7"/>
        <v>562874.77517775435</v>
      </c>
      <c r="R36" s="11">
        <f t="shared" si="8"/>
        <v>2188185.9656803194</v>
      </c>
      <c r="S36" s="11">
        <f t="shared" si="1"/>
        <v>2429250.9505025651</v>
      </c>
      <c r="T36" s="11">
        <f t="shared" si="2"/>
        <v>241064.98482224566</v>
      </c>
      <c r="U36" s="79">
        <f t="shared" si="15"/>
        <v>1.5739642495767754</v>
      </c>
    </row>
    <row r="37" spans="1:21" ht="11.25" x14ac:dyDescent="0.2">
      <c r="A37" s="70">
        <v>2029</v>
      </c>
      <c r="B37" s="71">
        <v>21</v>
      </c>
      <c r="C37" s="72">
        <f t="shared" si="0"/>
        <v>2.7E-2</v>
      </c>
      <c r="D37" s="73" t="str">
        <f t="shared" si="3"/>
        <v>31</v>
      </c>
      <c r="E37" s="74">
        <f t="shared" si="4"/>
        <v>1189</v>
      </c>
      <c r="F37" s="11">
        <f t="shared" si="9"/>
        <v>603679.08000000007</v>
      </c>
      <c r="G37" s="11">
        <f t="shared" si="10"/>
        <v>223200</v>
      </c>
      <c r="H37" s="11">
        <f t="shared" si="5"/>
        <v>826879.08000000007</v>
      </c>
      <c r="I37" s="80">
        <f t="shared" si="11"/>
        <v>425000</v>
      </c>
      <c r="J37" s="75">
        <v>425000</v>
      </c>
      <c r="L37" s="11">
        <f t="shared" si="12"/>
        <v>4200000</v>
      </c>
      <c r="M37" s="76"/>
      <c r="N37" s="11">
        <f t="shared" si="13"/>
        <v>4200000</v>
      </c>
      <c r="O37" s="11">
        <f t="shared" si="6"/>
        <v>0</v>
      </c>
      <c r="P37" s="75">
        <f t="shared" si="14"/>
        <v>145446.52113095389</v>
      </c>
      <c r="Q37" s="11">
        <f t="shared" si="7"/>
        <v>570446.52113095392</v>
      </c>
      <c r="R37" s="11">
        <f t="shared" si="8"/>
        <v>2429250.9505025651</v>
      </c>
      <c r="S37" s="11">
        <f t="shared" si="1"/>
        <v>2685683.5093716113</v>
      </c>
      <c r="T37" s="11">
        <f t="shared" si="2"/>
        <v>256432.55886904616</v>
      </c>
      <c r="U37" s="79">
        <f t="shared" si="15"/>
        <v>1.6033707267506969</v>
      </c>
    </row>
    <row r="38" spans="1:21" s="82" customFormat="1" ht="11.25" x14ac:dyDescent="0.2">
      <c r="A38" s="70">
        <v>2030</v>
      </c>
      <c r="B38" s="71">
        <v>22</v>
      </c>
      <c r="C38" s="72">
        <f t="shared" si="0"/>
        <v>2.7E-2</v>
      </c>
      <c r="D38" s="73" t="str">
        <f t="shared" si="3"/>
        <v>32</v>
      </c>
      <c r="E38" s="74">
        <f t="shared" si="4"/>
        <v>1221</v>
      </c>
      <c r="F38" s="11">
        <f t="shared" si="9"/>
        <v>619926.12</v>
      </c>
      <c r="G38" s="11">
        <f t="shared" si="10"/>
        <v>230400</v>
      </c>
      <c r="H38" s="11">
        <f t="shared" si="5"/>
        <v>850326.12</v>
      </c>
      <c r="I38" s="80">
        <f t="shared" si="11"/>
        <v>430000</v>
      </c>
      <c r="J38" s="75">
        <v>430000</v>
      </c>
      <c r="K38" s="4"/>
      <c r="L38" s="11">
        <f t="shared" si="12"/>
        <v>3770000</v>
      </c>
      <c r="M38" s="76"/>
      <c r="N38" s="11">
        <f t="shared" si="13"/>
        <v>3770000</v>
      </c>
      <c r="O38" s="11">
        <f t="shared" si="6"/>
        <v>0</v>
      </c>
      <c r="P38" s="75">
        <f t="shared" si="14"/>
        <v>148064.55851131104</v>
      </c>
      <c r="Q38" s="11">
        <f t="shared" si="7"/>
        <v>578064.55851131107</v>
      </c>
      <c r="R38" s="11">
        <f t="shared" si="8"/>
        <v>2685683.5093716113</v>
      </c>
      <c r="S38" s="11">
        <f t="shared" si="1"/>
        <v>2957945.0708603002</v>
      </c>
      <c r="T38" s="11">
        <f t="shared" si="2"/>
        <v>272261.56148868892</v>
      </c>
      <c r="U38" s="79">
        <f t="shared" si="15"/>
        <v>1.6331664220667184</v>
      </c>
    </row>
    <row r="39" spans="1:21" ht="11.25" x14ac:dyDescent="0.2">
      <c r="A39" s="70">
        <v>2031</v>
      </c>
      <c r="B39" s="71">
        <v>23</v>
      </c>
      <c r="C39" s="72">
        <f t="shared" si="0"/>
        <v>2.7E-2</v>
      </c>
      <c r="D39" s="73" t="str">
        <f t="shared" si="3"/>
        <v>33</v>
      </c>
      <c r="E39" s="74">
        <f t="shared" si="4"/>
        <v>1254</v>
      </c>
      <c r="F39" s="11">
        <f t="shared" si="9"/>
        <v>636680.88</v>
      </c>
      <c r="G39" s="11">
        <f t="shared" si="10"/>
        <v>237600</v>
      </c>
      <c r="H39" s="11">
        <f t="shared" si="5"/>
        <v>874280.88</v>
      </c>
      <c r="I39" s="80">
        <f t="shared" si="11"/>
        <v>440000</v>
      </c>
      <c r="J39" s="75">
        <v>440000</v>
      </c>
      <c r="L39" s="11">
        <f t="shared" si="12"/>
        <v>3330000</v>
      </c>
      <c r="M39" s="76"/>
      <c r="N39" s="11">
        <f t="shared" si="13"/>
        <v>3330000</v>
      </c>
      <c r="O39" s="11">
        <f t="shared" si="6"/>
        <v>0</v>
      </c>
      <c r="P39" s="75">
        <f t="shared" si="14"/>
        <v>150729.72056451469</v>
      </c>
      <c r="Q39" s="11">
        <f t="shared" si="7"/>
        <v>590729.72056451463</v>
      </c>
      <c r="R39" s="11">
        <f t="shared" si="8"/>
        <v>2957945.0708603002</v>
      </c>
      <c r="S39" s="11">
        <f t="shared" si="1"/>
        <v>3241496.2302957857</v>
      </c>
      <c r="T39" s="11">
        <f t="shared" si="2"/>
        <v>283551.15943548537</v>
      </c>
      <c r="U39" s="79">
        <f t="shared" si="15"/>
        <v>1.6444344532624664</v>
      </c>
    </row>
    <row r="40" spans="1:21" ht="11.25" x14ac:dyDescent="0.2">
      <c r="A40" s="70">
        <v>2032</v>
      </c>
      <c r="B40" s="71">
        <v>24</v>
      </c>
      <c r="C40" s="72">
        <f t="shared" si="0"/>
        <v>2.7E-2</v>
      </c>
      <c r="D40" s="73" t="str">
        <f t="shared" si="3"/>
        <v>34</v>
      </c>
      <c r="E40" s="74">
        <f t="shared" si="4"/>
        <v>1288</v>
      </c>
      <c r="F40" s="11">
        <f t="shared" si="9"/>
        <v>653943.36</v>
      </c>
      <c r="G40" s="11">
        <f t="shared" si="10"/>
        <v>244800</v>
      </c>
      <c r="H40" s="11">
        <f t="shared" si="5"/>
        <v>898743.36</v>
      </c>
      <c r="I40" s="80">
        <f t="shared" si="11"/>
        <v>450000</v>
      </c>
      <c r="J40" s="75">
        <v>450000</v>
      </c>
      <c r="L40" s="11">
        <f t="shared" si="12"/>
        <v>2880000</v>
      </c>
      <c r="M40" s="76"/>
      <c r="N40" s="11">
        <f t="shared" si="13"/>
        <v>2880000</v>
      </c>
      <c r="O40" s="11">
        <f t="shared" si="6"/>
        <v>0</v>
      </c>
      <c r="P40" s="75">
        <f t="shared" si="14"/>
        <v>153442.85553467591</v>
      </c>
      <c r="Q40" s="11">
        <f t="shared" si="7"/>
        <v>603442.85553467588</v>
      </c>
      <c r="R40" s="11">
        <f t="shared" si="8"/>
        <v>3241496.2302957857</v>
      </c>
      <c r="S40" s="11">
        <f t="shared" si="1"/>
        <v>3536796.7347611096</v>
      </c>
      <c r="T40" s="11">
        <f t="shared" si="2"/>
        <v>295300.50446532411</v>
      </c>
      <c r="U40" s="79">
        <f t="shared" si="15"/>
        <v>1.6562233432562758</v>
      </c>
    </row>
    <row r="41" spans="1:21" ht="11.25" x14ac:dyDescent="0.2">
      <c r="A41" s="70">
        <v>2033</v>
      </c>
      <c r="B41" s="71">
        <v>25</v>
      </c>
      <c r="C41" s="72">
        <f t="shared" si="0"/>
        <v>2.7E-2</v>
      </c>
      <c r="D41" s="73" t="str">
        <f t="shared" si="3"/>
        <v>35</v>
      </c>
      <c r="E41" s="74">
        <f t="shared" si="4"/>
        <v>1323</v>
      </c>
      <c r="F41" s="11">
        <f t="shared" si="9"/>
        <v>671713.56</v>
      </c>
      <c r="G41" s="11">
        <f t="shared" si="10"/>
        <v>252000</v>
      </c>
      <c r="H41" s="11">
        <f t="shared" si="5"/>
        <v>923713.56</v>
      </c>
      <c r="I41" s="80">
        <f t="shared" si="11"/>
        <v>460000</v>
      </c>
      <c r="J41" s="75">
        <v>460000</v>
      </c>
      <c r="L41" s="11">
        <f t="shared" si="12"/>
        <v>2420000</v>
      </c>
      <c r="M41" s="76"/>
      <c r="N41" s="11">
        <f t="shared" si="13"/>
        <v>2420000</v>
      </c>
      <c r="O41" s="11">
        <f t="shared" si="6"/>
        <v>0</v>
      </c>
      <c r="P41" s="75">
        <f t="shared" si="14"/>
        <v>156204.8269343001</v>
      </c>
      <c r="Q41" s="11">
        <f t="shared" si="7"/>
        <v>616204.82693430013</v>
      </c>
      <c r="R41" s="11">
        <f t="shared" si="8"/>
        <v>3536796.7347611096</v>
      </c>
      <c r="S41" s="11">
        <f t="shared" si="1"/>
        <v>3844305.4678268097</v>
      </c>
      <c r="T41" s="11">
        <f t="shared" si="2"/>
        <v>307508.73306569993</v>
      </c>
      <c r="U41" s="79">
        <f t="shared" si="15"/>
        <v>1.6684972457949998</v>
      </c>
    </row>
    <row r="42" spans="1:21" s="81" customFormat="1" ht="11.25" x14ac:dyDescent="0.2">
      <c r="A42" s="70">
        <v>2034</v>
      </c>
      <c r="B42" s="71">
        <v>26</v>
      </c>
      <c r="C42" s="72">
        <f t="shared" si="0"/>
        <v>2.7E-2</v>
      </c>
      <c r="D42" s="73" t="str">
        <f t="shared" si="3"/>
        <v>36</v>
      </c>
      <c r="E42" s="74">
        <f t="shared" si="4"/>
        <v>1359</v>
      </c>
      <c r="F42" s="11">
        <f t="shared" si="9"/>
        <v>689991.48</v>
      </c>
      <c r="G42" s="11">
        <f t="shared" si="10"/>
        <v>259200</v>
      </c>
      <c r="H42" s="11">
        <f t="shared" si="5"/>
        <v>949191.48</v>
      </c>
      <c r="I42" s="80">
        <f t="shared" si="11"/>
        <v>470000</v>
      </c>
      <c r="J42" s="75">
        <v>470000</v>
      </c>
      <c r="K42" s="4"/>
      <c r="L42" s="11">
        <f t="shared" si="12"/>
        <v>1950000</v>
      </c>
      <c r="M42" s="76"/>
      <c r="N42" s="11">
        <f t="shared" si="13"/>
        <v>1950000</v>
      </c>
      <c r="O42" s="11">
        <f t="shared" si="6"/>
        <v>0</v>
      </c>
      <c r="P42" s="75">
        <f t="shared" si="14"/>
        <v>159016.51381911751</v>
      </c>
      <c r="Q42" s="11">
        <f t="shared" si="7"/>
        <v>629016.51381911756</v>
      </c>
      <c r="R42" s="11">
        <f t="shared" si="8"/>
        <v>3844305.4678268097</v>
      </c>
      <c r="S42" s="11">
        <f t="shared" si="1"/>
        <v>4164480.4340076926</v>
      </c>
      <c r="T42" s="11">
        <f t="shared" si="2"/>
        <v>320174.96618088242</v>
      </c>
      <c r="U42" s="79">
        <f t="shared" si="15"/>
        <v>1.6812233322997499</v>
      </c>
    </row>
    <row r="43" spans="1:21" ht="11.25" x14ac:dyDescent="0.2">
      <c r="A43" s="70">
        <v>2035</v>
      </c>
      <c r="B43" s="71">
        <v>27</v>
      </c>
      <c r="C43" s="72">
        <f t="shared" si="0"/>
        <v>2.7E-2</v>
      </c>
      <c r="D43" s="73" t="str">
        <f t="shared" si="3"/>
        <v>37</v>
      </c>
      <c r="E43" s="74">
        <f t="shared" si="4"/>
        <v>1396</v>
      </c>
      <c r="F43" s="11">
        <f t="shared" si="9"/>
        <v>708777.12</v>
      </c>
      <c r="G43" s="11">
        <f t="shared" si="10"/>
        <v>266400</v>
      </c>
      <c r="H43" s="11">
        <f t="shared" si="5"/>
        <v>975177.12</v>
      </c>
      <c r="I43" s="80">
        <f t="shared" si="11"/>
        <v>480000</v>
      </c>
      <c r="J43" s="75">
        <v>480000</v>
      </c>
      <c r="L43" s="11">
        <f t="shared" si="12"/>
        <v>1470000</v>
      </c>
      <c r="M43" s="76"/>
      <c r="N43" s="11">
        <f t="shared" si="13"/>
        <v>1470000</v>
      </c>
      <c r="O43" s="11">
        <f t="shared" si="6"/>
        <v>0</v>
      </c>
      <c r="P43" s="75">
        <f t="shared" si="14"/>
        <v>161878.81106786162</v>
      </c>
      <c r="Q43" s="11">
        <f t="shared" si="7"/>
        <v>641878.81106786162</v>
      </c>
      <c r="R43" s="11">
        <f t="shared" si="8"/>
        <v>4164480.4340076926</v>
      </c>
      <c r="S43" s="11">
        <f t="shared" si="1"/>
        <v>4497778.7429398308</v>
      </c>
      <c r="T43" s="11">
        <f t="shared" si="2"/>
        <v>333298.30893213837</v>
      </c>
      <c r="U43" s="79">
        <f t="shared" si="15"/>
        <v>1.6943714769419549</v>
      </c>
    </row>
    <row r="44" spans="1:21" ht="11.25" x14ac:dyDescent="0.2">
      <c r="A44" s="70">
        <v>2036</v>
      </c>
      <c r="B44" s="71">
        <v>28</v>
      </c>
      <c r="C44" s="72">
        <f t="shared" si="0"/>
        <v>2.7E-2</v>
      </c>
      <c r="D44" s="73" t="str">
        <f t="shared" si="3"/>
        <v>38</v>
      </c>
      <c r="E44" s="74">
        <f t="shared" si="4"/>
        <v>1434</v>
      </c>
      <c r="F44" s="11">
        <f t="shared" si="9"/>
        <v>728070.48</v>
      </c>
      <c r="G44" s="11">
        <f t="shared" si="10"/>
        <v>273600</v>
      </c>
      <c r="H44" s="11">
        <f t="shared" si="5"/>
        <v>1001670.48</v>
      </c>
      <c r="I44" s="80">
        <f t="shared" si="11"/>
        <v>490000</v>
      </c>
      <c r="J44" s="75">
        <v>490000</v>
      </c>
      <c r="L44" s="11">
        <f t="shared" si="12"/>
        <v>980000</v>
      </c>
      <c r="M44" s="76"/>
      <c r="N44" s="11">
        <f t="shared" si="13"/>
        <v>980000</v>
      </c>
      <c r="O44" s="11">
        <f t="shared" si="6"/>
        <v>0</v>
      </c>
      <c r="P44" s="75">
        <f t="shared" si="14"/>
        <v>164792.62966708309</v>
      </c>
      <c r="Q44" s="11">
        <f t="shared" si="7"/>
        <v>654792.62966708303</v>
      </c>
      <c r="R44" s="11">
        <f t="shared" si="8"/>
        <v>4497778.7429398308</v>
      </c>
      <c r="S44" s="11">
        <f t="shared" si="1"/>
        <v>4844656.5932727475</v>
      </c>
      <c r="T44" s="11">
        <f t="shared" si="2"/>
        <v>346877.85033291695</v>
      </c>
      <c r="U44" s="79">
        <f t="shared" si="15"/>
        <v>1.7079139802712591</v>
      </c>
    </row>
    <row r="45" spans="1:21" ht="11.25" x14ac:dyDescent="0.2">
      <c r="A45" s="70">
        <v>2037</v>
      </c>
      <c r="B45" s="71">
        <v>29</v>
      </c>
      <c r="C45" s="72">
        <f t="shared" si="0"/>
        <v>2.7E-2</v>
      </c>
      <c r="D45" s="73" t="str">
        <f t="shared" si="3"/>
        <v>39</v>
      </c>
      <c r="E45" s="74">
        <f t="shared" si="4"/>
        <v>1473</v>
      </c>
      <c r="F45" s="11">
        <f t="shared" si="9"/>
        <v>747871.56</v>
      </c>
      <c r="G45" s="11">
        <f t="shared" si="10"/>
        <v>280800</v>
      </c>
      <c r="H45" s="11">
        <f t="shared" si="5"/>
        <v>1028671.56</v>
      </c>
      <c r="I45" s="80">
        <f t="shared" si="11"/>
        <v>490000</v>
      </c>
      <c r="J45" s="75">
        <v>490000</v>
      </c>
      <c r="L45" s="11">
        <f t="shared" si="12"/>
        <v>490000</v>
      </c>
      <c r="M45" s="76"/>
      <c r="N45" s="11">
        <f t="shared" si="13"/>
        <v>490000</v>
      </c>
      <c r="O45" s="11">
        <f t="shared" si="6"/>
        <v>0</v>
      </c>
      <c r="P45" s="75">
        <f t="shared" si="14"/>
        <v>167758.89700109063</v>
      </c>
      <c r="Q45" s="11">
        <f t="shared" si="7"/>
        <v>657758.89700109069</v>
      </c>
      <c r="R45" s="11">
        <f t="shared" si="8"/>
        <v>4844656.5932727475</v>
      </c>
      <c r="S45" s="11">
        <f t="shared" si="1"/>
        <v>5215569.2562716575</v>
      </c>
      <c r="T45" s="11">
        <f t="shared" si="2"/>
        <v>370912.66299890936</v>
      </c>
      <c r="U45" s="79"/>
    </row>
    <row r="46" spans="1:21" ht="11.25" x14ac:dyDescent="0.2">
      <c r="A46" s="70">
        <v>2038</v>
      </c>
      <c r="B46" s="71">
        <v>30</v>
      </c>
      <c r="C46" s="72">
        <f t="shared" si="0"/>
        <v>2.7E-2</v>
      </c>
      <c r="D46" s="73" t="str">
        <f t="shared" si="3"/>
        <v>40</v>
      </c>
      <c r="E46" s="74">
        <f t="shared" si="4"/>
        <v>1513</v>
      </c>
      <c r="F46" s="11">
        <f t="shared" si="9"/>
        <v>768180.36</v>
      </c>
      <c r="G46" s="11">
        <f t="shared" si="10"/>
        <v>288000</v>
      </c>
      <c r="H46" s="11">
        <f t="shared" si="5"/>
        <v>1056180.3599999999</v>
      </c>
      <c r="I46" s="80">
        <f t="shared" si="11"/>
        <v>490000</v>
      </c>
      <c r="J46" s="75">
        <v>490000</v>
      </c>
      <c r="L46" s="11">
        <f t="shared" si="12"/>
        <v>0</v>
      </c>
      <c r="M46" s="76"/>
      <c r="N46" s="11">
        <f t="shared" si="13"/>
        <v>0</v>
      </c>
      <c r="O46" s="11">
        <f t="shared" si="6"/>
        <v>0</v>
      </c>
      <c r="P46" s="75">
        <f t="shared" si="14"/>
        <v>170778.55714711026</v>
      </c>
      <c r="Q46" s="11">
        <f t="shared" si="7"/>
        <v>660778.55714711023</v>
      </c>
      <c r="R46" s="11">
        <f t="shared" si="8"/>
        <v>5215569.2562716575</v>
      </c>
      <c r="S46" s="11">
        <f t="shared" si="1"/>
        <v>5610971.059124548</v>
      </c>
      <c r="T46" s="11">
        <f t="shared" si="2"/>
        <v>395401.80285288964</v>
      </c>
      <c r="U46" s="79"/>
    </row>
    <row r="47" spans="1:21" thickBot="1" x14ac:dyDescent="0.25">
      <c r="A47" s="15"/>
      <c r="B47" s="15"/>
      <c r="C47" s="15"/>
      <c r="D47" s="15"/>
      <c r="E47" s="15"/>
      <c r="F47" s="15"/>
      <c r="G47" s="15"/>
      <c r="H47" s="19" t="s">
        <v>51</v>
      </c>
      <c r="I47" s="83">
        <f>SUM(I16:I46)</f>
        <v>12000000</v>
      </c>
      <c r="J47" s="84"/>
      <c r="K47" s="17"/>
      <c r="L47" s="19" t="s">
        <v>52</v>
      </c>
      <c r="M47" s="83">
        <f>SUM(M15:M46)</f>
        <v>0</v>
      </c>
      <c r="N47" s="17"/>
      <c r="O47" s="17"/>
      <c r="P47" s="17"/>
      <c r="Q47" s="17"/>
      <c r="R47" s="17"/>
      <c r="S47" s="15"/>
      <c r="T47" s="17"/>
      <c r="U47" s="85"/>
    </row>
    <row r="48" spans="1:21" thickTop="1" x14ac:dyDescent="0.2">
      <c r="A48" s="70"/>
      <c r="B48" s="71"/>
      <c r="C48" s="72"/>
      <c r="D48" s="73"/>
      <c r="E48" s="74"/>
      <c r="H48" s="86"/>
      <c r="L48" s="4"/>
      <c r="M48" s="4"/>
      <c r="N48" s="4"/>
      <c r="R48" s="4"/>
    </row>
    <row r="49" spans="1:21" ht="11.25" x14ac:dyDescent="0.2">
      <c r="A49" s="20" t="s">
        <v>53</v>
      </c>
      <c r="B49" s="71"/>
      <c r="C49" s="72"/>
      <c r="D49" s="73"/>
      <c r="E49" s="74"/>
      <c r="K49" s="87"/>
      <c r="L49" s="88" t="s">
        <v>72</v>
      </c>
      <c r="M49" s="89">
        <f>I47</f>
        <v>12000000</v>
      </c>
      <c r="N49" s="4"/>
      <c r="R49" s="4"/>
    </row>
    <row r="50" spans="1:21" ht="11.25" x14ac:dyDescent="0.2">
      <c r="A50" s="70"/>
      <c r="B50" s="71"/>
      <c r="C50" s="72"/>
      <c r="D50" s="73"/>
      <c r="E50" s="74"/>
      <c r="I50" s="39"/>
      <c r="J50" s="90"/>
    </row>
    <row r="51" spans="1:21" ht="11.25" x14ac:dyDescent="0.2">
      <c r="A51" s="70"/>
      <c r="B51" s="71"/>
      <c r="C51" s="72"/>
      <c r="D51" s="73"/>
      <c r="E51" s="74"/>
    </row>
    <row r="52" spans="1:21" s="92" customFormat="1" ht="11.25" x14ac:dyDescent="0.2">
      <c r="A52" s="70"/>
      <c r="B52" s="71"/>
      <c r="C52" s="72"/>
      <c r="D52" s="73"/>
      <c r="E52" s="74"/>
      <c r="F52" s="9"/>
      <c r="G52" s="9"/>
      <c r="H52" s="91"/>
      <c r="I52" s="4"/>
      <c r="J52" s="5"/>
      <c r="K52" s="4"/>
      <c r="L52" s="9"/>
      <c r="M52" s="9"/>
      <c r="N52" s="9"/>
      <c r="O52" s="4"/>
      <c r="P52" s="4"/>
      <c r="Q52" s="9"/>
      <c r="R52" s="9"/>
      <c r="S52" s="9"/>
      <c r="T52" s="4"/>
      <c r="U52" s="39"/>
    </row>
    <row r="53" spans="1:21" ht="11.25" x14ac:dyDescent="0.2">
      <c r="A53" s="70"/>
      <c r="B53" s="71"/>
      <c r="C53" s="72"/>
      <c r="D53" s="73"/>
      <c r="E53" s="74"/>
    </row>
    <row r="54" spans="1:21" ht="11.25" x14ac:dyDescent="0.2">
      <c r="A54" s="70"/>
      <c r="B54" s="71"/>
      <c r="C54" s="72"/>
      <c r="D54" s="73"/>
      <c r="E54" s="74"/>
      <c r="I54" s="93"/>
      <c r="J54" s="94"/>
    </row>
    <row r="55" spans="1:21" ht="11.25" x14ac:dyDescent="0.2">
      <c r="A55" s="70"/>
      <c r="B55" s="71"/>
      <c r="C55" s="72"/>
      <c r="D55" s="73"/>
      <c r="E55" s="74"/>
    </row>
  </sheetData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5"/>
  <sheetViews>
    <sheetView view="pageBreakPreview" topLeftCell="A10" zoomScaleNormal="50" zoomScaleSheetLayoutView="100" workbookViewId="0">
      <selection activeCell="H45" sqref="H45"/>
    </sheetView>
  </sheetViews>
  <sheetFormatPr defaultColWidth="12.7109375" defaultRowHeight="12" customHeight="1" x14ac:dyDescent="0.2"/>
  <cols>
    <col min="1" max="1" width="4.5703125" style="166" customWidth="1"/>
    <col min="2" max="2" width="3.85546875" style="170" hidden="1" customWidth="1"/>
    <col min="3" max="4" width="5.85546875" style="38" customWidth="1"/>
    <col min="5" max="5" width="6.140625" style="38" customWidth="1"/>
    <col min="6" max="6" width="11.7109375" style="38" customWidth="1"/>
    <col min="7" max="7" width="10.85546875" style="38" customWidth="1"/>
    <col min="8" max="13" width="9.7109375" style="5" customWidth="1"/>
    <col min="14" max="14" width="11.42578125" style="5" customWidth="1"/>
    <col min="15" max="16" width="9.7109375" style="38" customWidth="1"/>
    <col min="17" max="17" width="11.42578125" style="38" customWidth="1"/>
    <col min="18" max="19" width="9.7109375" style="5" customWidth="1"/>
    <col min="20" max="22" width="9.7109375" style="38" customWidth="1"/>
    <col min="23" max="23" width="9.7109375" style="5" customWidth="1"/>
    <col min="24" max="24" width="7.7109375" style="90" customWidth="1"/>
    <col min="25" max="30" width="12.7109375" style="81"/>
    <col min="31" max="35" width="12.7109375" style="100"/>
    <col min="36" max="16384" width="12.7109375" style="81"/>
  </cols>
  <sheetData>
    <row r="1" spans="1:35" ht="11.25" x14ac:dyDescent="0.2">
      <c r="A1" s="95" t="s">
        <v>91</v>
      </c>
      <c r="B1" s="96"/>
      <c r="C1" s="97"/>
      <c r="D1" s="97"/>
      <c r="E1" s="97"/>
      <c r="F1" s="97"/>
      <c r="G1" s="5"/>
      <c r="N1" s="97"/>
      <c r="O1" s="97"/>
      <c r="P1" s="97"/>
      <c r="Q1" s="97"/>
      <c r="R1" s="97"/>
      <c r="S1" s="97"/>
      <c r="T1" s="97"/>
      <c r="U1" s="97"/>
      <c r="V1" s="97"/>
      <c r="W1" s="98"/>
      <c r="X1" s="99"/>
    </row>
    <row r="2" spans="1:35" ht="11.25" x14ac:dyDescent="0.2">
      <c r="A2" s="95"/>
      <c r="B2" s="96"/>
      <c r="C2" s="97"/>
      <c r="D2" s="97"/>
      <c r="E2" s="97"/>
      <c r="F2" s="97"/>
      <c r="G2" s="5"/>
      <c r="N2" s="97"/>
      <c r="O2" s="97"/>
      <c r="P2" s="97"/>
      <c r="Q2" s="97"/>
      <c r="R2" s="97"/>
      <c r="S2" s="97"/>
      <c r="T2" s="97"/>
      <c r="U2" s="97"/>
      <c r="V2" s="97"/>
      <c r="W2" s="98"/>
      <c r="X2" s="99"/>
    </row>
    <row r="3" spans="1:35" ht="11.25" x14ac:dyDescent="0.2">
      <c r="A3" s="95" t="s">
        <v>0</v>
      </c>
      <c r="B3" s="96"/>
      <c r="C3" s="5"/>
      <c r="E3" s="5"/>
      <c r="G3" s="5"/>
      <c r="K3" s="98" t="s">
        <v>1</v>
      </c>
      <c r="T3" s="80" t="s">
        <v>2</v>
      </c>
      <c r="U3" s="75"/>
      <c r="V3" s="75"/>
      <c r="W3" s="101"/>
      <c r="X3" s="81"/>
    </row>
    <row r="4" spans="1:35" ht="11.25" x14ac:dyDescent="0.2">
      <c r="A4" s="102" t="s">
        <v>54</v>
      </c>
      <c r="B4" s="103"/>
      <c r="C4" s="101"/>
      <c r="D4" s="101"/>
      <c r="E4" s="101"/>
      <c r="F4" s="104">
        <v>11070000</v>
      </c>
      <c r="G4" s="5"/>
      <c r="K4" s="84" t="s">
        <v>55</v>
      </c>
      <c r="L4" s="84"/>
      <c r="M4" s="84"/>
      <c r="N4" s="18">
        <f>F7</f>
        <v>10740000</v>
      </c>
      <c r="T4" s="84" t="s">
        <v>5</v>
      </c>
      <c r="U4" s="105"/>
      <c r="V4" s="105"/>
      <c r="W4" s="18">
        <v>0</v>
      </c>
      <c r="X4" s="81"/>
      <c r="Y4" s="106" t="s">
        <v>56</v>
      </c>
      <c r="AA4" s="22">
        <f>117161.34</f>
        <v>117161.34</v>
      </c>
    </row>
    <row r="5" spans="1:35" ht="11.25" x14ac:dyDescent="0.2">
      <c r="A5" s="102" t="s">
        <v>57</v>
      </c>
      <c r="B5" s="81"/>
      <c r="C5" s="81"/>
      <c r="D5" s="81"/>
      <c r="E5" s="81"/>
      <c r="F5" s="107">
        <f>F4-330000</f>
        <v>10740000</v>
      </c>
      <c r="K5" s="103" t="s">
        <v>7</v>
      </c>
      <c r="L5" s="101"/>
      <c r="M5" s="101"/>
      <c r="N5" s="22">
        <f>AA7</f>
        <v>182771.60800000001</v>
      </c>
      <c r="T5" s="103" t="s">
        <v>8</v>
      </c>
      <c r="U5" s="101"/>
      <c r="V5" s="101"/>
      <c r="W5" s="24">
        <f>624+59</f>
        <v>683</v>
      </c>
      <c r="X5" s="81"/>
      <c r="Y5" s="106" t="s">
        <v>58</v>
      </c>
      <c r="Z5" s="22"/>
      <c r="AA5" s="22">
        <f>AA4*3*0.4</f>
        <v>140593.60800000001</v>
      </c>
      <c r="AB5" s="108"/>
      <c r="AC5" s="108"/>
      <c r="AD5" s="108"/>
    </row>
    <row r="6" spans="1:35" ht="11.25" x14ac:dyDescent="0.2">
      <c r="A6" s="102" t="s">
        <v>59</v>
      </c>
      <c r="B6" s="81"/>
      <c r="C6" s="81"/>
      <c r="D6" s="81"/>
      <c r="E6" s="81"/>
      <c r="F6" s="109">
        <v>0</v>
      </c>
      <c r="G6" s="5"/>
      <c r="K6" s="103" t="s">
        <v>10</v>
      </c>
      <c r="L6" s="101"/>
      <c r="M6" s="101"/>
      <c r="N6" s="110">
        <v>1.7999999999999999E-2</v>
      </c>
      <c r="T6" s="101" t="s">
        <v>11</v>
      </c>
      <c r="U6" s="101"/>
      <c r="V6" s="101"/>
      <c r="W6" s="111">
        <v>2.7E-2</v>
      </c>
      <c r="X6" s="202">
        <v>2.7E-2</v>
      </c>
      <c r="Y6" s="106" t="s">
        <v>60</v>
      </c>
      <c r="Z6" s="112"/>
      <c r="AA6" s="22">
        <v>42178</v>
      </c>
      <c r="AB6" s="108"/>
      <c r="AC6" s="108"/>
      <c r="AD6" s="108"/>
    </row>
    <row r="7" spans="1:35" ht="15" x14ac:dyDescent="0.25">
      <c r="A7" s="113" t="s">
        <v>61</v>
      </c>
      <c r="B7" s="114"/>
      <c r="C7" s="114"/>
      <c r="D7" s="114"/>
      <c r="E7" s="114"/>
      <c r="F7" s="115">
        <f>F5+F6</f>
        <v>10740000</v>
      </c>
      <c r="G7" s="5"/>
      <c r="K7" s="116" t="s">
        <v>13</v>
      </c>
      <c r="L7" s="116"/>
      <c r="M7" s="116"/>
      <c r="N7" s="117">
        <v>0</v>
      </c>
      <c r="T7" s="103" t="s">
        <v>14</v>
      </c>
      <c r="U7" s="101"/>
      <c r="V7" s="101"/>
      <c r="W7" s="22">
        <v>7200</v>
      </c>
      <c r="X7" s="81"/>
      <c r="Y7" s="106" t="s">
        <v>62</v>
      </c>
      <c r="Z7" s="118"/>
      <c r="AA7" s="22">
        <f>AA5+AA6</f>
        <v>182771.60800000001</v>
      </c>
      <c r="AB7" s="119"/>
      <c r="AC7" s="119"/>
      <c r="AD7" s="119"/>
    </row>
    <row r="8" spans="1:35" ht="11.25" x14ac:dyDescent="0.2">
      <c r="A8" s="120" t="s">
        <v>12</v>
      </c>
      <c r="B8" s="103"/>
      <c r="C8" s="101"/>
      <c r="D8" s="101"/>
      <c r="E8" s="101"/>
      <c r="F8" s="121">
        <v>30</v>
      </c>
      <c r="G8" s="5"/>
      <c r="N8" s="38"/>
      <c r="T8" s="103" t="s">
        <v>63</v>
      </c>
      <c r="U8" s="81"/>
      <c r="V8" s="81"/>
      <c r="W8" s="22">
        <v>53249</v>
      </c>
      <c r="X8" s="81"/>
    </row>
    <row r="9" spans="1:35" ht="11.25" x14ac:dyDescent="0.2">
      <c r="A9" s="120" t="s">
        <v>15</v>
      </c>
      <c r="B9" s="103"/>
      <c r="C9" s="101"/>
      <c r="D9" s="101"/>
      <c r="E9" s="101"/>
      <c r="F9" s="33">
        <v>0</v>
      </c>
      <c r="H9" s="38"/>
      <c r="I9" s="38"/>
      <c r="J9" s="38"/>
      <c r="K9" s="162" t="s">
        <v>79</v>
      </c>
      <c r="L9" s="162"/>
      <c r="M9" s="162"/>
      <c r="N9" s="147">
        <v>0.2</v>
      </c>
      <c r="O9" s="203" t="s">
        <v>90</v>
      </c>
      <c r="R9" s="38"/>
      <c r="S9" s="38"/>
      <c r="T9" s="103" t="s">
        <v>76</v>
      </c>
      <c r="W9" s="117">
        <f>W8*0.012/12</f>
        <v>53.249000000000002</v>
      </c>
      <c r="X9" s="81"/>
    </row>
    <row r="10" spans="1:35" ht="11.25" x14ac:dyDescent="0.2">
      <c r="A10" s="123" t="s">
        <v>17</v>
      </c>
      <c r="B10" s="122"/>
      <c r="C10" s="116"/>
      <c r="D10" s="116"/>
      <c r="E10" s="116"/>
      <c r="F10" s="124">
        <f>-PMT(F9,F8,O17)</f>
        <v>358000</v>
      </c>
      <c r="K10" s="101" t="s">
        <v>80</v>
      </c>
      <c r="L10" s="101"/>
      <c r="M10" s="101"/>
      <c r="N10" s="151">
        <v>0.8</v>
      </c>
      <c r="O10" s="204" t="s">
        <v>90</v>
      </c>
      <c r="P10" s="125"/>
      <c r="Q10" s="126"/>
      <c r="R10" s="38"/>
      <c r="S10" s="38"/>
      <c r="T10" s="122" t="s">
        <v>75</v>
      </c>
      <c r="U10" s="116"/>
      <c r="V10" s="116"/>
      <c r="W10" s="117">
        <f>W8*0.014/12</f>
        <v>62.12383333333333</v>
      </c>
      <c r="X10" s="5"/>
    </row>
    <row r="11" spans="1:35" ht="11.25" x14ac:dyDescent="0.2">
      <c r="A11" s="127"/>
      <c r="B11" s="38"/>
      <c r="F11" s="5"/>
      <c r="K11" s="116" t="s">
        <v>81</v>
      </c>
      <c r="L11" s="116"/>
      <c r="M11" s="116"/>
      <c r="N11" s="156">
        <v>0.88900000000000001</v>
      </c>
      <c r="O11" s="205" t="s">
        <v>90</v>
      </c>
      <c r="P11" s="128"/>
      <c r="Q11" s="126"/>
      <c r="R11" s="38"/>
      <c r="S11" s="38"/>
      <c r="W11" s="38"/>
      <c r="X11" s="5"/>
    </row>
    <row r="12" spans="1:35" ht="11.25" x14ac:dyDescent="0.2">
      <c r="A12" s="127"/>
      <c r="B12" s="38"/>
      <c r="F12" s="5"/>
      <c r="P12" s="128"/>
      <c r="Q12" s="126"/>
      <c r="R12" s="38"/>
      <c r="S12" s="38"/>
      <c r="W12" s="38"/>
      <c r="X12" s="5"/>
      <c r="AF12" s="100" t="s">
        <v>64</v>
      </c>
      <c r="AG12" s="132">
        <v>0.01</v>
      </c>
    </row>
    <row r="13" spans="1:35" ht="11.25" x14ac:dyDescent="0.2">
      <c r="A13" s="129" t="s">
        <v>18</v>
      </c>
      <c r="B13" s="130"/>
      <c r="C13" s="101"/>
      <c r="D13" s="75"/>
      <c r="E13" s="131"/>
      <c r="F13" s="5"/>
      <c r="G13" s="5"/>
      <c r="O13" s="5"/>
      <c r="P13" s="5"/>
      <c r="Q13" s="5"/>
      <c r="T13" s="5"/>
      <c r="U13" s="5"/>
      <c r="V13" s="5"/>
    </row>
    <row r="14" spans="1:35" thickBot="1" x14ac:dyDescent="0.25">
      <c r="A14" s="133"/>
      <c r="B14" s="134"/>
      <c r="C14" s="135" t="s">
        <v>19</v>
      </c>
      <c r="D14" s="135" t="s">
        <v>20</v>
      </c>
      <c r="E14" s="135" t="s">
        <v>21</v>
      </c>
      <c r="F14" s="47"/>
      <c r="G14" s="47"/>
      <c r="H14" s="47"/>
      <c r="I14" s="47" t="s">
        <v>77</v>
      </c>
      <c r="J14" s="47" t="s">
        <v>23</v>
      </c>
      <c r="K14" s="47" t="s">
        <v>82</v>
      </c>
      <c r="L14" s="47" t="s">
        <v>83</v>
      </c>
      <c r="M14" s="47" t="s">
        <v>85</v>
      </c>
      <c r="N14" s="47"/>
      <c r="O14" s="47"/>
      <c r="P14" s="47"/>
      <c r="Q14" s="47" t="s">
        <v>24</v>
      </c>
      <c r="R14" s="47"/>
      <c r="S14" s="136"/>
      <c r="T14" s="47"/>
      <c r="U14" s="136"/>
      <c r="V14" s="47"/>
      <c r="W14" s="137" t="s">
        <v>25</v>
      </c>
      <c r="X14" s="81"/>
    </row>
    <row r="15" spans="1:35" ht="11.25" x14ac:dyDescent="0.2">
      <c r="A15" s="138"/>
      <c r="B15" s="139"/>
      <c r="C15" s="140" t="s">
        <v>26</v>
      </c>
      <c r="D15" s="140" t="s">
        <v>19</v>
      </c>
      <c r="E15" s="140" t="s">
        <v>27</v>
      </c>
      <c r="F15" s="54" t="s">
        <v>28</v>
      </c>
      <c r="G15" s="54" t="s">
        <v>29</v>
      </c>
      <c r="H15" s="54" t="s">
        <v>21</v>
      </c>
      <c r="I15" s="54" t="s">
        <v>30</v>
      </c>
      <c r="J15" s="54" t="s">
        <v>30</v>
      </c>
      <c r="K15" s="54" t="s">
        <v>30</v>
      </c>
      <c r="L15" s="54" t="s">
        <v>43</v>
      </c>
      <c r="M15" s="54" t="s">
        <v>86</v>
      </c>
      <c r="N15" s="54" t="s">
        <v>30</v>
      </c>
      <c r="O15" s="54" t="s">
        <v>65</v>
      </c>
      <c r="P15" s="54" t="s">
        <v>31</v>
      </c>
      <c r="Q15" s="54" t="s">
        <v>33</v>
      </c>
      <c r="R15" s="54" t="s">
        <v>34</v>
      </c>
      <c r="S15" s="140" t="s">
        <v>21</v>
      </c>
      <c r="T15" s="54" t="s">
        <v>35</v>
      </c>
      <c r="U15" s="140" t="s">
        <v>36</v>
      </c>
      <c r="V15" s="54" t="s">
        <v>37</v>
      </c>
      <c r="W15" s="141" t="s">
        <v>38</v>
      </c>
      <c r="X15" s="81"/>
      <c r="AD15" s="174"/>
      <c r="AE15" s="182"/>
      <c r="AF15" s="175" t="s">
        <v>67</v>
      </c>
      <c r="AG15" s="182" t="s">
        <v>67</v>
      </c>
      <c r="AH15" s="175" t="s">
        <v>68</v>
      </c>
      <c r="AI15" s="184" t="s">
        <v>68</v>
      </c>
    </row>
    <row r="16" spans="1:35" thickBot="1" x14ac:dyDescent="0.25">
      <c r="A16" s="142" t="s">
        <v>39</v>
      </c>
      <c r="B16" s="143"/>
      <c r="C16" s="144" t="s">
        <v>40</v>
      </c>
      <c r="D16" s="144" t="s">
        <v>41</v>
      </c>
      <c r="E16" s="144" t="s">
        <v>41</v>
      </c>
      <c r="F16" s="144" t="s">
        <v>42</v>
      </c>
      <c r="G16" s="144" t="s">
        <v>42</v>
      </c>
      <c r="H16" s="144" t="s">
        <v>42</v>
      </c>
      <c r="I16" s="54" t="s">
        <v>43</v>
      </c>
      <c r="J16" s="60" t="s">
        <v>43</v>
      </c>
      <c r="K16" s="60" t="s">
        <v>43</v>
      </c>
      <c r="L16" s="60" t="s">
        <v>84</v>
      </c>
      <c r="M16" s="60" t="s">
        <v>43</v>
      </c>
      <c r="N16" s="60" t="s">
        <v>44</v>
      </c>
      <c r="O16" s="60" t="s">
        <v>45</v>
      </c>
      <c r="P16" s="60" t="s">
        <v>45</v>
      </c>
      <c r="Q16" s="60" t="s">
        <v>38</v>
      </c>
      <c r="R16" s="60" t="s">
        <v>47</v>
      </c>
      <c r="S16" s="60" t="s">
        <v>47</v>
      </c>
      <c r="T16" s="60" t="s">
        <v>48</v>
      </c>
      <c r="U16" s="144" t="s">
        <v>49</v>
      </c>
      <c r="V16" s="60" t="s">
        <v>42</v>
      </c>
      <c r="W16" s="145" t="s">
        <v>50</v>
      </c>
      <c r="X16" s="81"/>
      <c r="Z16" s="81" t="s">
        <v>67</v>
      </c>
      <c r="AA16" s="81" t="s">
        <v>68</v>
      </c>
      <c r="AB16" s="81" t="s">
        <v>69</v>
      </c>
      <c r="AD16" s="192" t="s">
        <v>39</v>
      </c>
      <c r="AE16" s="193" t="s">
        <v>39</v>
      </c>
      <c r="AF16" s="179" t="s">
        <v>70</v>
      </c>
      <c r="AG16" s="193" t="s">
        <v>66</v>
      </c>
      <c r="AH16" s="179" t="s">
        <v>70</v>
      </c>
      <c r="AI16" s="194" t="s">
        <v>66</v>
      </c>
    </row>
    <row r="17" spans="1:35" ht="11.25" x14ac:dyDescent="0.2">
      <c r="A17" s="133">
        <v>2016</v>
      </c>
      <c r="B17" s="146">
        <v>0</v>
      </c>
      <c r="C17" s="147">
        <v>0</v>
      </c>
      <c r="D17" s="148">
        <v>0</v>
      </c>
      <c r="E17" s="149">
        <f>W5</f>
        <v>683</v>
      </c>
      <c r="F17" s="75">
        <f t="shared" ref="F17:F46" si="0">(+$W$9*12)*E17</f>
        <v>436428.80400000006</v>
      </c>
      <c r="G17" s="75">
        <f t="shared" ref="G17:G46" si="1">(+D17)*$W$7</f>
        <v>0</v>
      </c>
      <c r="H17" s="75">
        <f t="shared" ref="H17:H46" si="2">+F17+G17</f>
        <v>436428.80400000006</v>
      </c>
      <c r="I17" s="84">
        <f>ROUND(O17*0.005,-3)-1000</f>
        <v>53000</v>
      </c>
      <c r="J17" s="75">
        <v>0</v>
      </c>
      <c r="K17" s="75">
        <f>I17+J17</f>
        <v>53000</v>
      </c>
      <c r="L17" s="75">
        <f t="shared" ref="L17:L46" si="3">IF(E17-$E$53&gt;0, (E17-$E$53)*$H$53,0)</f>
        <v>0</v>
      </c>
      <c r="M17" s="75">
        <f>K17+L17</f>
        <v>53000</v>
      </c>
      <c r="N17" s="75">
        <f t="shared" ref="N17:N26" si="4">$F$10*1.5/10</f>
        <v>53700</v>
      </c>
      <c r="O17" s="84">
        <f>F7</f>
        <v>10740000</v>
      </c>
      <c r="P17" s="75">
        <f>IF(O17-I17&gt;0,O17-I17,0)</f>
        <v>10687000</v>
      </c>
      <c r="Q17" s="84">
        <f>N7</f>
        <v>0</v>
      </c>
      <c r="R17" s="75">
        <f t="shared" ref="R17:R46" si="5">(N$5*(1+N$6)^B17)</f>
        <v>182771.60800000001</v>
      </c>
      <c r="S17" s="75">
        <f t="shared" ref="S17:S46" si="6">+I17+N17+R17+Q17</f>
        <v>289471.60800000001</v>
      </c>
      <c r="T17" s="199">
        <v>0</v>
      </c>
      <c r="U17" s="199">
        <f t="shared" ref="U17:U46" si="7">+(H17+T17)-S17</f>
        <v>146957.19600000005</v>
      </c>
      <c r="V17" s="199">
        <f t="shared" ref="V17:V46" si="8">+H17-(S17)</f>
        <v>146957.19600000005</v>
      </c>
      <c r="W17" s="77">
        <f>(H17-R17)/(K17+Q17)</f>
        <v>4.7859848301886805</v>
      </c>
      <c r="X17" s="81"/>
      <c r="Z17" s="154">
        <f>K17</f>
        <v>53000</v>
      </c>
      <c r="AA17" s="161">
        <v>0</v>
      </c>
      <c r="AB17" s="154">
        <f>Z17-AA17</f>
        <v>53000</v>
      </c>
      <c r="AD17" s="189">
        <v>2016</v>
      </c>
      <c r="AE17" s="183">
        <v>0</v>
      </c>
      <c r="AF17" s="190">
        <f>K17</f>
        <v>53000</v>
      </c>
      <c r="AG17" s="190">
        <f t="shared" ref="AG17:AG46" si="9">AF17*(1+$AG$12)^(-AE17)</f>
        <v>53000</v>
      </c>
      <c r="AH17" s="190">
        <f t="shared" ref="AH17:AH43" si="10">AA20</f>
        <v>340000</v>
      </c>
      <c r="AI17" s="191">
        <f t="shared" ref="AI17:AI46" si="11">AH17*(1+$AG$12)^(-AE17)</f>
        <v>340000</v>
      </c>
    </row>
    <row r="18" spans="1:35" ht="11.25" x14ac:dyDescent="0.2">
      <c r="A18" s="138">
        <f>A17+1</f>
        <v>2017</v>
      </c>
      <c r="B18" s="150">
        <v>7</v>
      </c>
      <c r="C18" s="151">
        <v>0</v>
      </c>
      <c r="D18" s="152" t="str">
        <f>FIXED(E17*C18,0)</f>
        <v>0</v>
      </c>
      <c r="E18" s="24">
        <f>+E17+D18</f>
        <v>683</v>
      </c>
      <c r="F18" s="75">
        <f t="shared" si="0"/>
        <v>436428.80400000006</v>
      </c>
      <c r="G18" s="75">
        <f t="shared" si="1"/>
        <v>0</v>
      </c>
      <c r="H18" s="75">
        <f t="shared" si="2"/>
        <v>436428.80400000006</v>
      </c>
      <c r="I18" s="75">
        <f>ROUND(O18*0.005,-3)</f>
        <v>53000</v>
      </c>
      <c r="J18" s="75">
        <v>0</v>
      </c>
      <c r="K18" s="75">
        <f t="shared" ref="K18:K46" si="12">I18+J18</f>
        <v>53000</v>
      </c>
      <c r="L18" s="75">
        <f t="shared" si="3"/>
        <v>0</v>
      </c>
      <c r="M18" s="75">
        <f t="shared" ref="M18:M45" si="13">K18+L18</f>
        <v>53000</v>
      </c>
      <c r="N18" s="75">
        <f t="shared" si="4"/>
        <v>53700</v>
      </c>
      <c r="O18" s="75">
        <f t="shared" ref="O18:O46" si="14">O17-I17</f>
        <v>10687000</v>
      </c>
      <c r="P18" s="75">
        <f t="shared" ref="P18:P46" si="15">IF(P17-I18&gt;0,P17-I18,0)</f>
        <v>10634000</v>
      </c>
      <c r="Q18" s="75">
        <f t="shared" ref="Q18:Q46" si="16">$Q$17</f>
        <v>0</v>
      </c>
      <c r="R18" s="75">
        <f t="shared" si="5"/>
        <v>207082.39479776245</v>
      </c>
      <c r="S18" s="75">
        <f t="shared" si="6"/>
        <v>313782.39479776245</v>
      </c>
      <c r="T18" s="200">
        <f>+U17</f>
        <v>146957.19600000005</v>
      </c>
      <c r="U18" s="200">
        <f t="shared" si="7"/>
        <v>269603.60520223767</v>
      </c>
      <c r="V18" s="200">
        <f t="shared" si="8"/>
        <v>122646.40920223761</v>
      </c>
      <c r="W18" s="77">
        <f t="shared" ref="W18:W46" si="17">(H18-R18)/(K18+Q18)</f>
        <v>4.3272907396648606</v>
      </c>
      <c r="X18" s="81"/>
      <c r="Z18" s="154">
        <f t="shared" ref="Z18:Z46" si="18">K18</f>
        <v>53000</v>
      </c>
      <c r="AA18" s="161">
        <v>0</v>
      </c>
      <c r="AB18" s="154">
        <f t="shared" ref="AB18:AB19" si="19">Z18-AA18</f>
        <v>53000</v>
      </c>
      <c r="AD18" s="176">
        <f>AD17+1</f>
        <v>2017</v>
      </c>
      <c r="AE18" s="172">
        <f>AE17+1</f>
        <v>1</v>
      </c>
      <c r="AF18" s="190">
        <f t="shared" ref="AF18:AF46" si="20">K18</f>
        <v>53000</v>
      </c>
      <c r="AG18" s="173">
        <f t="shared" si="9"/>
        <v>52475.247524752478</v>
      </c>
      <c r="AH18" s="173">
        <f t="shared" si="10"/>
        <v>350000</v>
      </c>
      <c r="AI18" s="177">
        <f t="shared" si="11"/>
        <v>346534.65346534655</v>
      </c>
    </row>
    <row r="19" spans="1:35" ht="11.25" x14ac:dyDescent="0.2">
      <c r="A19" s="153">
        <f t="shared" ref="A19:A46" si="21">A18+1</f>
        <v>2018</v>
      </c>
      <c r="B19" s="150">
        <v>8</v>
      </c>
      <c r="C19" s="151">
        <v>0</v>
      </c>
      <c r="D19" s="152" t="str">
        <f t="shared" ref="D19:D46" si="22">FIXED(E18*C19,0)</f>
        <v>0</v>
      </c>
      <c r="E19" s="24">
        <f t="shared" ref="E19:E46" si="23">+E18+D19</f>
        <v>683</v>
      </c>
      <c r="F19" s="75">
        <f t="shared" si="0"/>
        <v>436428.80400000006</v>
      </c>
      <c r="G19" s="75">
        <f t="shared" si="1"/>
        <v>0</v>
      </c>
      <c r="H19" s="75">
        <f t="shared" si="2"/>
        <v>436428.80400000006</v>
      </c>
      <c r="I19" s="75">
        <f>ROUND(O19*0.005,-3)</f>
        <v>53000</v>
      </c>
      <c r="J19" s="75">
        <v>0</v>
      </c>
      <c r="K19" s="75">
        <f t="shared" si="12"/>
        <v>53000</v>
      </c>
      <c r="L19" s="75">
        <f t="shared" si="3"/>
        <v>0</v>
      </c>
      <c r="M19" s="75">
        <f t="shared" si="13"/>
        <v>53000</v>
      </c>
      <c r="N19" s="75">
        <f t="shared" si="4"/>
        <v>53700</v>
      </c>
      <c r="O19" s="75">
        <f t="shared" si="14"/>
        <v>10634000</v>
      </c>
      <c r="P19" s="75">
        <f t="shared" si="15"/>
        <v>10581000</v>
      </c>
      <c r="Q19" s="75">
        <f t="shared" si="16"/>
        <v>0</v>
      </c>
      <c r="R19" s="75">
        <f t="shared" si="5"/>
        <v>210809.87790412217</v>
      </c>
      <c r="S19" s="75">
        <f t="shared" si="6"/>
        <v>317509.87790412217</v>
      </c>
      <c r="T19" s="200">
        <f t="shared" ref="T19:T46" si="24">+U18</f>
        <v>269603.60520223767</v>
      </c>
      <c r="U19" s="200">
        <f t="shared" si="7"/>
        <v>388522.53129811556</v>
      </c>
      <c r="V19" s="200">
        <f t="shared" si="8"/>
        <v>118918.92609587789</v>
      </c>
      <c r="W19" s="77">
        <f t="shared" si="17"/>
        <v>4.256960869733545</v>
      </c>
      <c r="X19" s="81"/>
      <c r="Z19" s="154">
        <f t="shared" si="18"/>
        <v>53000</v>
      </c>
      <c r="AA19" s="161">
        <v>0</v>
      </c>
      <c r="AB19" s="154">
        <f t="shared" si="19"/>
        <v>53000</v>
      </c>
      <c r="AD19" s="176">
        <f t="shared" ref="AD19:AE34" si="25">AD18+1</f>
        <v>2018</v>
      </c>
      <c r="AE19" s="172">
        <f t="shared" si="25"/>
        <v>2</v>
      </c>
      <c r="AF19" s="190">
        <f t="shared" si="20"/>
        <v>53000</v>
      </c>
      <c r="AG19" s="173">
        <f t="shared" si="9"/>
        <v>51955.690618566805</v>
      </c>
      <c r="AH19" s="173">
        <f t="shared" si="10"/>
        <v>355000</v>
      </c>
      <c r="AI19" s="177">
        <f t="shared" si="11"/>
        <v>348005.09753945691</v>
      </c>
    </row>
    <row r="20" spans="1:35" ht="11.25" x14ac:dyDescent="0.2">
      <c r="A20" s="153">
        <f t="shared" si="21"/>
        <v>2019</v>
      </c>
      <c r="B20" s="150">
        <v>9</v>
      </c>
      <c r="C20" s="151">
        <f t="shared" ref="C20:C46" si="26">$W$6</f>
        <v>2.7E-2</v>
      </c>
      <c r="D20" s="152" t="str">
        <f t="shared" si="22"/>
        <v>18</v>
      </c>
      <c r="E20" s="24">
        <f t="shared" si="23"/>
        <v>701</v>
      </c>
      <c r="F20" s="75">
        <f t="shared" si="0"/>
        <v>447930.58800000005</v>
      </c>
      <c r="G20" s="75">
        <f t="shared" si="1"/>
        <v>129600</v>
      </c>
      <c r="H20" s="75">
        <f t="shared" si="2"/>
        <v>577530.58799999999</v>
      </c>
      <c r="I20" s="75">
        <v>270000</v>
      </c>
      <c r="J20" s="75">
        <f t="shared" ref="J20:J26" si="27">ROUND((E20-$E$20)*($W$9*12)*$N$9,-3)</f>
        <v>0</v>
      </c>
      <c r="K20" s="75">
        <f t="shared" si="12"/>
        <v>270000</v>
      </c>
      <c r="L20" s="75">
        <f t="shared" si="3"/>
        <v>0</v>
      </c>
      <c r="M20" s="75">
        <f t="shared" si="13"/>
        <v>270000</v>
      </c>
      <c r="N20" s="75">
        <f t="shared" si="4"/>
        <v>53700</v>
      </c>
      <c r="O20" s="75">
        <f t="shared" si="14"/>
        <v>10581000</v>
      </c>
      <c r="P20" s="75">
        <f t="shared" si="15"/>
        <v>10311000</v>
      </c>
      <c r="Q20" s="75">
        <f t="shared" si="16"/>
        <v>0</v>
      </c>
      <c r="R20" s="75">
        <f t="shared" si="5"/>
        <v>214604.45570639634</v>
      </c>
      <c r="S20" s="75">
        <f t="shared" si="6"/>
        <v>538304.45570639637</v>
      </c>
      <c r="T20" s="200">
        <f t="shared" si="24"/>
        <v>388522.53129811556</v>
      </c>
      <c r="U20" s="200">
        <f t="shared" si="7"/>
        <v>427748.66359171923</v>
      </c>
      <c r="V20" s="200">
        <f t="shared" si="8"/>
        <v>39226.132293603616</v>
      </c>
      <c r="W20" s="77">
        <f t="shared" si="17"/>
        <v>1.34417086034668</v>
      </c>
      <c r="X20" s="81"/>
      <c r="Z20" s="154">
        <f t="shared" si="18"/>
        <v>270000</v>
      </c>
      <c r="AA20" s="154">
        <f>'[1]Original WQB - 2.7% Growth'!I21</f>
        <v>340000</v>
      </c>
      <c r="AB20" s="154">
        <f>Z20-AA20</f>
        <v>-70000</v>
      </c>
      <c r="AC20" s="154"/>
      <c r="AD20" s="176">
        <f t="shared" si="25"/>
        <v>2019</v>
      </c>
      <c r="AE20" s="172">
        <f t="shared" si="25"/>
        <v>3</v>
      </c>
      <c r="AF20" s="190">
        <f t="shared" si="20"/>
        <v>270000</v>
      </c>
      <c r="AG20" s="173">
        <f t="shared" si="9"/>
        <v>262059.33994046404</v>
      </c>
      <c r="AH20" s="173">
        <f t="shared" si="10"/>
        <v>360000</v>
      </c>
      <c r="AI20" s="177">
        <f t="shared" si="11"/>
        <v>349412.45325395203</v>
      </c>
    </row>
    <row r="21" spans="1:35" ht="11.25" x14ac:dyDescent="0.2">
      <c r="A21" s="153">
        <f t="shared" si="21"/>
        <v>2020</v>
      </c>
      <c r="B21" s="150">
        <v>10</v>
      </c>
      <c r="C21" s="151">
        <f t="shared" si="26"/>
        <v>2.7E-2</v>
      </c>
      <c r="D21" s="152" t="str">
        <f t="shared" si="22"/>
        <v>19</v>
      </c>
      <c r="E21" s="24">
        <f t="shared" si="23"/>
        <v>720</v>
      </c>
      <c r="F21" s="75">
        <f t="shared" si="0"/>
        <v>460071.36000000004</v>
      </c>
      <c r="G21" s="75">
        <f t="shared" si="1"/>
        <v>136800</v>
      </c>
      <c r="H21" s="75">
        <f t="shared" si="2"/>
        <v>596871.3600000001</v>
      </c>
      <c r="I21" s="75">
        <f>I20</f>
        <v>270000</v>
      </c>
      <c r="J21" s="75">
        <f t="shared" si="27"/>
        <v>2000</v>
      </c>
      <c r="K21" s="75">
        <f t="shared" si="12"/>
        <v>272000</v>
      </c>
      <c r="L21" s="75">
        <f t="shared" si="3"/>
        <v>0</v>
      </c>
      <c r="M21" s="75">
        <f t="shared" si="13"/>
        <v>272000</v>
      </c>
      <c r="N21" s="75">
        <f t="shared" si="4"/>
        <v>53700</v>
      </c>
      <c r="O21" s="75">
        <f t="shared" si="14"/>
        <v>10311000</v>
      </c>
      <c r="P21" s="75">
        <f t="shared" si="15"/>
        <v>10041000</v>
      </c>
      <c r="Q21" s="75">
        <f t="shared" si="16"/>
        <v>0</v>
      </c>
      <c r="R21" s="75">
        <f t="shared" si="5"/>
        <v>218467.33590911151</v>
      </c>
      <c r="S21" s="75">
        <f t="shared" si="6"/>
        <v>542167.33590911154</v>
      </c>
      <c r="T21" s="200">
        <f t="shared" si="24"/>
        <v>427748.66359171923</v>
      </c>
      <c r="U21" s="200">
        <f t="shared" si="7"/>
        <v>482452.68768260779</v>
      </c>
      <c r="V21" s="200">
        <f t="shared" si="8"/>
        <v>54704.024090888561</v>
      </c>
      <c r="W21" s="77">
        <f t="shared" si="17"/>
        <v>1.3911912650400315</v>
      </c>
      <c r="X21" s="81"/>
      <c r="Z21" s="154">
        <f t="shared" si="18"/>
        <v>272000</v>
      </c>
      <c r="AA21" s="154">
        <f>'[1]Original WQB - 2.7% Growth'!I22</f>
        <v>350000</v>
      </c>
      <c r="AB21" s="154">
        <f t="shared" ref="AB21:AB46" si="28">Z21-AA21</f>
        <v>-78000</v>
      </c>
      <c r="AC21" s="154"/>
      <c r="AD21" s="176">
        <f t="shared" si="25"/>
        <v>2020</v>
      </c>
      <c r="AE21" s="172">
        <f t="shared" si="25"/>
        <v>4</v>
      </c>
      <c r="AF21" s="190">
        <f t="shared" si="20"/>
        <v>272000</v>
      </c>
      <c r="AG21" s="173">
        <f t="shared" si="9"/>
        <v>261386.65369932601</v>
      </c>
      <c r="AH21" s="173">
        <f t="shared" si="10"/>
        <v>365000</v>
      </c>
      <c r="AI21" s="177">
        <f t="shared" si="11"/>
        <v>350757.82573622791</v>
      </c>
    </row>
    <row r="22" spans="1:35" ht="11.25" x14ac:dyDescent="0.2">
      <c r="A22" s="153">
        <f t="shared" si="21"/>
        <v>2021</v>
      </c>
      <c r="B22" s="150">
        <v>11</v>
      </c>
      <c r="C22" s="151">
        <f t="shared" si="26"/>
        <v>2.7E-2</v>
      </c>
      <c r="D22" s="152" t="str">
        <f t="shared" si="22"/>
        <v>19</v>
      </c>
      <c r="E22" s="24">
        <f t="shared" si="23"/>
        <v>739</v>
      </c>
      <c r="F22" s="75">
        <f t="shared" si="0"/>
        <v>472212.13200000004</v>
      </c>
      <c r="G22" s="75">
        <f t="shared" si="1"/>
        <v>136800</v>
      </c>
      <c r="H22" s="75">
        <f t="shared" si="2"/>
        <v>609012.13199999998</v>
      </c>
      <c r="I22" s="75">
        <f t="shared" ref="I22:I46" si="29">I21</f>
        <v>270000</v>
      </c>
      <c r="J22" s="75">
        <f t="shared" si="27"/>
        <v>5000</v>
      </c>
      <c r="K22" s="75">
        <f t="shared" si="12"/>
        <v>275000</v>
      </c>
      <c r="L22" s="75">
        <f t="shared" si="3"/>
        <v>0</v>
      </c>
      <c r="M22" s="75">
        <f t="shared" si="13"/>
        <v>275000</v>
      </c>
      <c r="N22" s="75">
        <f t="shared" si="4"/>
        <v>53700</v>
      </c>
      <c r="O22" s="75">
        <f t="shared" si="14"/>
        <v>10041000</v>
      </c>
      <c r="P22" s="75">
        <f t="shared" si="15"/>
        <v>9771000</v>
      </c>
      <c r="Q22" s="75">
        <f t="shared" si="16"/>
        <v>0</v>
      </c>
      <c r="R22" s="75">
        <f t="shared" si="5"/>
        <v>222399.7479554755</v>
      </c>
      <c r="S22" s="75">
        <f t="shared" si="6"/>
        <v>546099.74795547547</v>
      </c>
      <c r="T22" s="200">
        <f t="shared" si="24"/>
        <v>482452.68768260779</v>
      </c>
      <c r="U22" s="200">
        <f t="shared" si="7"/>
        <v>545365.07172713242</v>
      </c>
      <c r="V22" s="200">
        <f t="shared" si="8"/>
        <v>62912.384044524515</v>
      </c>
      <c r="W22" s="77">
        <f t="shared" si="17"/>
        <v>1.405863214707362</v>
      </c>
      <c r="X22" s="81"/>
      <c r="Z22" s="154">
        <f t="shared" si="18"/>
        <v>275000</v>
      </c>
      <c r="AA22" s="154">
        <f>'[1]Original WQB - 2.7% Growth'!I23</f>
        <v>355000</v>
      </c>
      <c r="AB22" s="154">
        <f t="shared" si="28"/>
        <v>-80000</v>
      </c>
      <c r="AC22" s="154"/>
      <c r="AD22" s="176">
        <f t="shared" si="25"/>
        <v>2021</v>
      </c>
      <c r="AE22" s="172">
        <f t="shared" si="25"/>
        <v>5</v>
      </c>
      <c r="AF22" s="190">
        <f t="shared" si="20"/>
        <v>275000</v>
      </c>
      <c r="AG22" s="173">
        <f t="shared" si="9"/>
        <v>261653.06409185595</v>
      </c>
      <c r="AH22" s="173">
        <f t="shared" si="10"/>
        <v>370000</v>
      </c>
      <c r="AI22" s="177">
        <f t="shared" si="11"/>
        <v>352042.30441449711</v>
      </c>
    </row>
    <row r="23" spans="1:35" s="82" customFormat="1" ht="11.25" x14ac:dyDescent="0.2">
      <c r="A23" s="153">
        <f t="shared" si="21"/>
        <v>2022</v>
      </c>
      <c r="B23" s="150">
        <v>12</v>
      </c>
      <c r="C23" s="151">
        <f t="shared" si="26"/>
        <v>2.7E-2</v>
      </c>
      <c r="D23" s="152" t="str">
        <f t="shared" si="22"/>
        <v>20</v>
      </c>
      <c r="E23" s="24">
        <f t="shared" si="23"/>
        <v>759</v>
      </c>
      <c r="F23" s="75">
        <f t="shared" si="0"/>
        <v>484991.89200000005</v>
      </c>
      <c r="G23" s="75">
        <f t="shared" si="1"/>
        <v>144000</v>
      </c>
      <c r="H23" s="75">
        <f t="shared" si="2"/>
        <v>628991.89199999999</v>
      </c>
      <c r="I23" s="75">
        <f t="shared" si="29"/>
        <v>270000</v>
      </c>
      <c r="J23" s="75">
        <f t="shared" si="27"/>
        <v>7000</v>
      </c>
      <c r="K23" s="75">
        <f t="shared" si="12"/>
        <v>277000</v>
      </c>
      <c r="L23" s="75">
        <f t="shared" si="3"/>
        <v>0</v>
      </c>
      <c r="M23" s="75">
        <f t="shared" si="13"/>
        <v>277000</v>
      </c>
      <c r="N23" s="75">
        <f t="shared" si="4"/>
        <v>53700</v>
      </c>
      <c r="O23" s="75">
        <f t="shared" si="14"/>
        <v>9771000</v>
      </c>
      <c r="P23" s="75">
        <f t="shared" si="15"/>
        <v>9501000</v>
      </c>
      <c r="Q23" s="75">
        <f t="shared" si="16"/>
        <v>0</v>
      </c>
      <c r="R23" s="75">
        <f t="shared" si="5"/>
        <v>226402.94341867405</v>
      </c>
      <c r="S23" s="75">
        <f t="shared" si="6"/>
        <v>550102.94341867405</v>
      </c>
      <c r="T23" s="200">
        <f t="shared" si="24"/>
        <v>545365.07172713242</v>
      </c>
      <c r="U23" s="200">
        <f t="shared" si="7"/>
        <v>624254.02030845836</v>
      </c>
      <c r="V23" s="200">
        <f t="shared" si="8"/>
        <v>78888.948581325938</v>
      </c>
      <c r="W23" s="77">
        <f t="shared" si="17"/>
        <v>1.4533897060697687</v>
      </c>
      <c r="Z23" s="154">
        <f t="shared" si="18"/>
        <v>277000</v>
      </c>
      <c r="AA23" s="154">
        <f>'[1]Original WQB - 2.7% Growth'!I24</f>
        <v>360000</v>
      </c>
      <c r="AB23" s="154">
        <f t="shared" si="28"/>
        <v>-83000</v>
      </c>
      <c r="AC23" s="154"/>
      <c r="AD23" s="176">
        <f t="shared" si="25"/>
        <v>2022</v>
      </c>
      <c r="AE23" s="172">
        <f t="shared" si="25"/>
        <v>6</v>
      </c>
      <c r="AF23" s="190">
        <f t="shared" si="20"/>
        <v>277000</v>
      </c>
      <c r="AG23" s="173">
        <f t="shared" si="9"/>
        <v>260946.53016541523</v>
      </c>
      <c r="AH23" s="173">
        <f t="shared" si="10"/>
        <v>375000</v>
      </c>
      <c r="AI23" s="177">
        <f t="shared" si="11"/>
        <v>353266.96322032745</v>
      </c>
    </row>
    <row r="24" spans="1:35" ht="11.25" x14ac:dyDescent="0.2">
      <c r="A24" s="153">
        <f t="shared" si="21"/>
        <v>2023</v>
      </c>
      <c r="B24" s="150">
        <v>13</v>
      </c>
      <c r="C24" s="151">
        <f t="shared" si="26"/>
        <v>2.7E-2</v>
      </c>
      <c r="D24" s="152" t="str">
        <f t="shared" si="22"/>
        <v>20</v>
      </c>
      <c r="E24" s="24">
        <f t="shared" si="23"/>
        <v>779</v>
      </c>
      <c r="F24" s="75">
        <f t="shared" si="0"/>
        <v>497771.65200000006</v>
      </c>
      <c r="G24" s="75">
        <f t="shared" si="1"/>
        <v>144000</v>
      </c>
      <c r="H24" s="75">
        <f t="shared" si="2"/>
        <v>641771.652</v>
      </c>
      <c r="I24" s="75">
        <f t="shared" si="29"/>
        <v>270000</v>
      </c>
      <c r="J24" s="75">
        <f t="shared" si="27"/>
        <v>10000</v>
      </c>
      <c r="K24" s="75">
        <f t="shared" si="12"/>
        <v>280000</v>
      </c>
      <c r="L24" s="75">
        <f t="shared" si="3"/>
        <v>0</v>
      </c>
      <c r="M24" s="75">
        <f t="shared" si="13"/>
        <v>280000</v>
      </c>
      <c r="N24" s="75">
        <f t="shared" si="4"/>
        <v>53700</v>
      </c>
      <c r="O24" s="75">
        <f t="shared" si="14"/>
        <v>9501000</v>
      </c>
      <c r="P24" s="75">
        <f t="shared" si="15"/>
        <v>9231000</v>
      </c>
      <c r="Q24" s="75">
        <f t="shared" si="16"/>
        <v>0</v>
      </c>
      <c r="R24" s="75">
        <f t="shared" si="5"/>
        <v>230478.1964002102</v>
      </c>
      <c r="S24" s="75">
        <f t="shared" si="6"/>
        <v>554178.19640021026</v>
      </c>
      <c r="T24" s="200">
        <f t="shared" si="24"/>
        <v>624254.02030845836</v>
      </c>
      <c r="U24" s="200">
        <f t="shared" si="7"/>
        <v>711847.47590824822</v>
      </c>
      <c r="V24" s="200">
        <f t="shared" si="8"/>
        <v>87593.455599789741</v>
      </c>
      <c r="W24" s="77">
        <f t="shared" si="17"/>
        <v>1.4689051985706778</v>
      </c>
      <c r="X24" s="81"/>
      <c r="Z24" s="154">
        <f t="shared" si="18"/>
        <v>280000</v>
      </c>
      <c r="AA24" s="154">
        <f>'[1]Original WQB - 2.7% Growth'!I25</f>
        <v>365000</v>
      </c>
      <c r="AB24" s="154">
        <f t="shared" si="28"/>
        <v>-85000</v>
      </c>
      <c r="AC24" s="154"/>
      <c r="AD24" s="176">
        <f t="shared" si="25"/>
        <v>2023</v>
      </c>
      <c r="AE24" s="172">
        <f t="shared" si="25"/>
        <v>7</v>
      </c>
      <c r="AF24" s="190">
        <f t="shared" si="20"/>
        <v>280000</v>
      </c>
      <c r="AG24" s="173">
        <f t="shared" si="9"/>
        <v>261161.05531799796</v>
      </c>
      <c r="AH24" s="173">
        <f t="shared" si="10"/>
        <v>380000</v>
      </c>
      <c r="AI24" s="177">
        <f t="shared" si="11"/>
        <v>354432.86078871152</v>
      </c>
    </row>
    <row r="25" spans="1:35" ht="11.25" x14ac:dyDescent="0.2">
      <c r="A25" s="153">
        <f t="shared" si="21"/>
        <v>2024</v>
      </c>
      <c r="B25" s="150">
        <v>14</v>
      </c>
      <c r="C25" s="151">
        <f t="shared" si="26"/>
        <v>2.7E-2</v>
      </c>
      <c r="D25" s="152" t="str">
        <f t="shared" si="22"/>
        <v>21</v>
      </c>
      <c r="E25" s="24">
        <f t="shared" si="23"/>
        <v>800</v>
      </c>
      <c r="F25" s="75">
        <f t="shared" si="0"/>
        <v>511190.4</v>
      </c>
      <c r="G25" s="75">
        <f t="shared" si="1"/>
        <v>151200</v>
      </c>
      <c r="H25" s="75">
        <f t="shared" si="2"/>
        <v>662390.4</v>
      </c>
      <c r="I25" s="75">
        <f t="shared" si="29"/>
        <v>270000</v>
      </c>
      <c r="J25" s="75">
        <f t="shared" si="27"/>
        <v>13000</v>
      </c>
      <c r="K25" s="75">
        <f t="shared" si="12"/>
        <v>283000</v>
      </c>
      <c r="L25" s="75">
        <f t="shared" si="3"/>
        <v>0</v>
      </c>
      <c r="M25" s="75">
        <f t="shared" si="13"/>
        <v>283000</v>
      </c>
      <c r="N25" s="75">
        <f t="shared" si="4"/>
        <v>53700</v>
      </c>
      <c r="O25" s="75">
        <f t="shared" si="14"/>
        <v>9231000</v>
      </c>
      <c r="P25" s="75">
        <f t="shared" si="15"/>
        <v>8961000</v>
      </c>
      <c r="Q25" s="75">
        <f t="shared" si="16"/>
        <v>0</v>
      </c>
      <c r="R25" s="75">
        <f t="shared" si="5"/>
        <v>234626.80393541401</v>
      </c>
      <c r="S25" s="75">
        <f t="shared" si="6"/>
        <v>558326.80393541395</v>
      </c>
      <c r="T25" s="200">
        <f t="shared" si="24"/>
        <v>711847.47590824822</v>
      </c>
      <c r="U25" s="200">
        <f t="shared" si="7"/>
        <v>815911.07197283418</v>
      </c>
      <c r="V25" s="200">
        <f t="shared" si="8"/>
        <v>104063.59606458608</v>
      </c>
      <c r="W25" s="77">
        <f t="shared" si="17"/>
        <v>1.5115321415709753</v>
      </c>
      <c r="X25" s="81"/>
      <c r="Z25" s="154">
        <f t="shared" si="18"/>
        <v>283000</v>
      </c>
      <c r="AA25" s="154">
        <f>'[1]Original WQB - 2.7% Growth'!I26</f>
        <v>370000</v>
      </c>
      <c r="AB25" s="154">
        <f t="shared" si="28"/>
        <v>-87000</v>
      </c>
      <c r="AC25" s="154"/>
      <c r="AD25" s="176">
        <f t="shared" si="25"/>
        <v>2024</v>
      </c>
      <c r="AE25" s="172">
        <f t="shared" si="25"/>
        <v>8</v>
      </c>
      <c r="AF25" s="190">
        <f t="shared" si="20"/>
        <v>283000</v>
      </c>
      <c r="AG25" s="173">
        <f t="shared" si="9"/>
        <v>261345.75196249434</v>
      </c>
      <c r="AH25" s="173">
        <f t="shared" si="10"/>
        <v>385000</v>
      </c>
      <c r="AI25" s="177">
        <f t="shared" si="11"/>
        <v>355541.04065569019</v>
      </c>
    </row>
    <row r="26" spans="1:35" ht="11.25" x14ac:dyDescent="0.2">
      <c r="A26" s="142">
        <f t="shared" si="21"/>
        <v>2025</v>
      </c>
      <c r="B26" s="155">
        <v>15</v>
      </c>
      <c r="C26" s="156">
        <f t="shared" si="26"/>
        <v>2.7E-2</v>
      </c>
      <c r="D26" s="157" t="str">
        <f t="shared" si="22"/>
        <v>22</v>
      </c>
      <c r="E26" s="158">
        <f t="shared" si="23"/>
        <v>822</v>
      </c>
      <c r="F26" s="159">
        <f t="shared" si="0"/>
        <v>525248.13600000006</v>
      </c>
      <c r="G26" s="159">
        <f t="shared" si="1"/>
        <v>158400</v>
      </c>
      <c r="H26" s="159">
        <f t="shared" si="2"/>
        <v>683648.13600000006</v>
      </c>
      <c r="I26" s="159">
        <f t="shared" si="29"/>
        <v>270000</v>
      </c>
      <c r="J26" s="159">
        <f t="shared" si="27"/>
        <v>15000</v>
      </c>
      <c r="K26" s="159">
        <f t="shared" si="12"/>
        <v>285000</v>
      </c>
      <c r="L26" s="159">
        <f t="shared" si="3"/>
        <v>1408</v>
      </c>
      <c r="M26" s="159">
        <f t="shared" si="13"/>
        <v>286408</v>
      </c>
      <c r="N26" s="159">
        <f t="shared" si="4"/>
        <v>53700</v>
      </c>
      <c r="O26" s="159">
        <f t="shared" si="14"/>
        <v>8961000</v>
      </c>
      <c r="P26" s="159">
        <f t="shared" si="15"/>
        <v>8691000</v>
      </c>
      <c r="Q26" s="159">
        <f t="shared" si="16"/>
        <v>0</v>
      </c>
      <c r="R26" s="159">
        <f t="shared" si="5"/>
        <v>238850.08640625147</v>
      </c>
      <c r="S26" s="159">
        <f t="shared" si="6"/>
        <v>562550.08640625142</v>
      </c>
      <c r="T26" s="201">
        <f t="shared" si="24"/>
        <v>815911.07197283418</v>
      </c>
      <c r="U26" s="201">
        <f t="shared" si="7"/>
        <v>937009.12156658294</v>
      </c>
      <c r="V26" s="201">
        <f t="shared" si="8"/>
        <v>121098.04959374864</v>
      </c>
      <c r="W26" s="160">
        <f t="shared" si="17"/>
        <v>1.5606949108552581</v>
      </c>
      <c r="X26" s="81"/>
      <c r="Z26" s="154">
        <f t="shared" si="18"/>
        <v>285000</v>
      </c>
      <c r="AA26" s="154">
        <f>'[1]Original WQB - 2.7% Growth'!I27</f>
        <v>375000</v>
      </c>
      <c r="AB26" s="154">
        <f t="shared" si="28"/>
        <v>-90000</v>
      </c>
      <c r="AC26" s="154"/>
      <c r="AD26" s="176">
        <f t="shared" si="25"/>
        <v>2025</v>
      </c>
      <c r="AE26" s="172">
        <f t="shared" si="25"/>
        <v>9</v>
      </c>
      <c r="AF26" s="190">
        <f t="shared" si="20"/>
        <v>285000</v>
      </c>
      <c r="AG26" s="173">
        <f t="shared" si="9"/>
        <v>260586.84990837518</v>
      </c>
      <c r="AH26" s="173">
        <f t="shared" si="10"/>
        <v>390000</v>
      </c>
      <c r="AI26" s="177">
        <f t="shared" si="11"/>
        <v>356592.53145356604</v>
      </c>
    </row>
    <row r="27" spans="1:35" ht="11.25" x14ac:dyDescent="0.2">
      <c r="A27" s="138">
        <f t="shared" si="21"/>
        <v>2026</v>
      </c>
      <c r="B27" s="150">
        <v>16</v>
      </c>
      <c r="C27" s="151">
        <f t="shared" si="26"/>
        <v>2.7E-2</v>
      </c>
      <c r="D27" s="152" t="str">
        <f t="shared" si="22"/>
        <v>22</v>
      </c>
      <c r="E27" s="24">
        <f t="shared" si="23"/>
        <v>844</v>
      </c>
      <c r="F27" s="75">
        <f t="shared" si="0"/>
        <v>539305.87200000009</v>
      </c>
      <c r="G27" s="75">
        <f t="shared" si="1"/>
        <v>158400</v>
      </c>
      <c r="H27" s="75">
        <f t="shared" si="2"/>
        <v>697705.87200000009</v>
      </c>
      <c r="I27" s="75">
        <f t="shared" si="29"/>
        <v>270000</v>
      </c>
      <c r="J27" s="75">
        <f t="shared" ref="J27:J36" si="30">ROUND((E27-$E$26)*($W$9*12)*$N$10,-3)+$J$26</f>
        <v>26000</v>
      </c>
      <c r="K27" s="75">
        <f t="shared" si="12"/>
        <v>296000</v>
      </c>
      <c r="L27" s="75">
        <f t="shared" si="3"/>
        <v>2816</v>
      </c>
      <c r="M27" s="75">
        <f t="shared" si="13"/>
        <v>298816</v>
      </c>
      <c r="N27" s="75"/>
      <c r="O27" s="75">
        <f t="shared" si="14"/>
        <v>8691000</v>
      </c>
      <c r="P27" s="75">
        <f t="shared" si="15"/>
        <v>8421000</v>
      </c>
      <c r="Q27" s="75">
        <f t="shared" si="16"/>
        <v>0</v>
      </c>
      <c r="R27" s="75">
        <f t="shared" si="5"/>
        <v>243149.38796156397</v>
      </c>
      <c r="S27" s="75">
        <f t="shared" si="6"/>
        <v>513149.387961564</v>
      </c>
      <c r="T27" s="200">
        <f t="shared" si="24"/>
        <v>937009.12156658294</v>
      </c>
      <c r="U27" s="200">
        <f t="shared" si="7"/>
        <v>1121565.6056050188</v>
      </c>
      <c r="V27" s="200">
        <f t="shared" si="8"/>
        <v>184556.48403843609</v>
      </c>
      <c r="W27" s="77">
        <f t="shared" si="17"/>
        <v>1.535663797427149</v>
      </c>
      <c r="X27" s="81"/>
      <c r="Z27" s="154">
        <f t="shared" si="18"/>
        <v>296000</v>
      </c>
      <c r="AA27" s="154">
        <f>'[1]Original WQB - 2.7% Growth'!I28</f>
        <v>380000</v>
      </c>
      <c r="AB27" s="154">
        <f t="shared" si="28"/>
        <v>-84000</v>
      </c>
      <c r="AC27" s="154"/>
      <c r="AD27" s="176">
        <f t="shared" si="25"/>
        <v>2026</v>
      </c>
      <c r="AE27" s="172">
        <f t="shared" si="25"/>
        <v>10</v>
      </c>
      <c r="AF27" s="190">
        <f t="shared" si="20"/>
        <v>296000</v>
      </c>
      <c r="AG27" s="173">
        <f t="shared" si="9"/>
        <v>267964.93858912302</v>
      </c>
      <c r="AH27" s="173">
        <f t="shared" si="10"/>
        <v>395000</v>
      </c>
      <c r="AI27" s="177">
        <f t="shared" si="11"/>
        <v>357588.34710372833</v>
      </c>
    </row>
    <row r="28" spans="1:35" ht="11.25" x14ac:dyDescent="0.2">
      <c r="A28" s="138">
        <f t="shared" si="21"/>
        <v>2027</v>
      </c>
      <c r="B28" s="150">
        <v>17</v>
      </c>
      <c r="C28" s="151">
        <f t="shared" si="26"/>
        <v>2.7E-2</v>
      </c>
      <c r="D28" s="152" t="str">
        <f t="shared" si="22"/>
        <v>23</v>
      </c>
      <c r="E28" s="24">
        <f t="shared" si="23"/>
        <v>867</v>
      </c>
      <c r="F28" s="75">
        <f t="shared" si="0"/>
        <v>554002.59600000002</v>
      </c>
      <c r="G28" s="75">
        <f t="shared" si="1"/>
        <v>165600</v>
      </c>
      <c r="H28" s="75">
        <f t="shared" si="2"/>
        <v>719602.59600000002</v>
      </c>
      <c r="I28" s="75">
        <f t="shared" si="29"/>
        <v>270000</v>
      </c>
      <c r="J28" s="75">
        <f t="shared" si="30"/>
        <v>38000</v>
      </c>
      <c r="K28" s="75">
        <f t="shared" si="12"/>
        <v>308000</v>
      </c>
      <c r="L28" s="75">
        <f t="shared" si="3"/>
        <v>4288</v>
      </c>
      <c r="M28" s="75">
        <f t="shared" si="13"/>
        <v>312288</v>
      </c>
      <c r="N28" s="75"/>
      <c r="O28" s="75">
        <f t="shared" si="14"/>
        <v>8421000</v>
      </c>
      <c r="P28" s="75">
        <f t="shared" si="15"/>
        <v>8151000</v>
      </c>
      <c r="Q28" s="75">
        <f t="shared" si="16"/>
        <v>0</v>
      </c>
      <c r="R28" s="75">
        <f t="shared" si="5"/>
        <v>247526.07694487215</v>
      </c>
      <c r="S28" s="75">
        <f t="shared" si="6"/>
        <v>517526.07694487215</v>
      </c>
      <c r="T28" s="200">
        <f t="shared" si="24"/>
        <v>1121565.6056050188</v>
      </c>
      <c r="U28" s="200">
        <f t="shared" si="7"/>
        <v>1323642.1246601464</v>
      </c>
      <c r="V28" s="200">
        <f t="shared" si="8"/>
        <v>202076.51905512786</v>
      </c>
      <c r="W28" s="77">
        <f t="shared" si="17"/>
        <v>1.5327159709582074</v>
      </c>
      <c r="X28" s="81"/>
      <c r="Z28" s="154">
        <f t="shared" si="18"/>
        <v>308000</v>
      </c>
      <c r="AA28" s="154">
        <f>'[1]Original WQB - 2.7% Growth'!I29</f>
        <v>385000</v>
      </c>
      <c r="AB28" s="154">
        <f t="shared" si="28"/>
        <v>-77000</v>
      </c>
      <c r="AC28" s="154"/>
      <c r="AD28" s="176">
        <f t="shared" si="25"/>
        <v>2027</v>
      </c>
      <c r="AE28" s="172">
        <f t="shared" si="25"/>
        <v>11</v>
      </c>
      <c r="AF28" s="190">
        <f t="shared" si="20"/>
        <v>308000</v>
      </c>
      <c r="AG28" s="173">
        <f t="shared" si="9"/>
        <v>276067.70499548403</v>
      </c>
      <c r="AH28" s="173">
        <f t="shared" si="10"/>
        <v>400000</v>
      </c>
      <c r="AI28" s="177">
        <f t="shared" si="11"/>
        <v>358529.48700712208</v>
      </c>
    </row>
    <row r="29" spans="1:35" ht="11.25" x14ac:dyDescent="0.2">
      <c r="A29" s="138">
        <f t="shared" si="21"/>
        <v>2028</v>
      </c>
      <c r="B29" s="150">
        <v>18</v>
      </c>
      <c r="C29" s="151">
        <f t="shared" si="26"/>
        <v>2.7E-2</v>
      </c>
      <c r="D29" s="152" t="str">
        <f t="shared" si="22"/>
        <v>23</v>
      </c>
      <c r="E29" s="24">
        <f t="shared" si="23"/>
        <v>890</v>
      </c>
      <c r="F29" s="75">
        <f t="shared" si="0"/>
        <v>568699.32000000007</v>
      </c>
      <c r="G29" s="75">
        <f t="shared" si="1"/>
        <v>165600</v>
      </c>
      <c r="H29" s="75">
        <f t="shared" si="2"/>
        <v>734299.32000000007</v>
      </c>
      <c r="I29" s="75">
        <f t="shared" si="29"/>
        <v>270000</v>
      </c>
      <c r="J29" s="75">
        <f t="shared" si="30"/>
        <v>50000</v>
      </c>
      <c r="K29" s="75">
        <f t="shared" si="12"/>
        <v>320000</v>
      </c>
      <c r="L29" s="75">
        <f t="shared" si="3"/>
        <v>5760</v>
      </c>
      <c r="M29" s="75">
        <f t="shared" si="13"/>
        <v>325760</v>
      </c>
      <c r="N29" s="75"/>
      <c r="O29" s="75">
        <f t="shared" si="14"/>
        <v>8151000</v>
      </c>
      <c r="P29" s="75">
        <f t="shared" si="15"/>
        <v>7881000</v>
      </c>
      <c r="Q29" s="75">
        <f t="shared" si="16"/>
        <v>0</v>
      </c>
      <c r="R29" s="75">
        <f t="shared" si="5"/>
        <v>251981.54632987984</v>
      </c>
      <c r="S29" s="75">
        <f t="shared" si="6"/>
        <v>521981.54632987984</v>
      </c>
      <c r="T29" s="200">
        <f t="shared" si="24"/>
        <v>1323642.1246601464</v>
      </c>
      <c r="U29" s="200">
        <f t="shared" si="7"/>
        <v>1535959.8983302666</v>
      </c>
      <c r="V29" s="200">
        <f t="shared" si="8"/>
        <v>212317.77367012022</v>
      </c>
      <c r="W29" s="77">
        <f t="shared" si="17"/>
        <v>1.5072430427191257</v>
      </c>
      <c r="X29" s="81"/>
      <c r="Z29" s="154">
        <f t="shared" si="18"/>
        <v>320000</v>
      </c>
      <c r="AA29" s="154">
        <f>'[1]Original WQB - 2.7% Growth'!I30</f>
        <v>390000</v>
      </c>
      <c r="AB29" s="154">
        <f t="shared" si="28"/>
        <v>-70000</v>
      </c>
      <c r="AC29" s="154"/>
      <c r="AD29" s="176">
        <f t="shared" si="25"/>
        <v>2028</v>
      </c>
      <c r="AE29" s="172">
        <f t="shared" si="25"/>
        <v>12</v>
      </c>
      <c r="AF29" s="190">
        <f t="shared" si="20"/>
        <v>320000</v>
      </c>
      <c r="AG29" s="173">
        <f t="shared" si="9"/>
        <v>283983.75208484917</v>
      </c>
      <c r="AH29" s="173">
        <f t="shared" si="10"/>
        <v>405000</v>
      </c>
      <c r="AI29" s="177">
        <f t="shared" si="11"/>
        <v>359416.93623238726</v>
      </c>
    </row>
    <row r="30" spans="1:35" ht="11.25" x14ac:dyDescent="0.2">
      <c r="A30" s="138">
        <f t="shared" si="21"/>
        <v>2029</v>
      </c>
      <c r="B30" s="150">
        <v>19</v>
      </c>
      <c r="C30" s="151">
        <f t="shared" si="26"/>
        <v>2.7E-2</v>
      </c>
      <c r="D30" s="152" t="str">
        <f t="shared" si="22"/>
        <v>24</v>
      </c>
      <c r="E30" s="24">
        <f t="shared" si="23"/>
        <v>914</v>
      </c>
      <c r="F30" s="75">
        <f t="shared" si="0"/>
        <v>584035.03200000001</v>
      </c>
      <c r="G30" s="75">
        <f t="shared" si="1"/>
        <v>172800</v>
      </c>
      <c r="H30" s="75">
        <f t="shared" si="2"/>
        <v>756835.03200000001</v>
      </c>
      <c r="I30" s="75">
        <f t="shared" si="29"/>
        <v>270000</v>
      </c>
      <c r="J30" s="75">
        <f t="shared" si="30"/>
        <v>62000</v>
      </c>
      <c r="K30" s="75">
        <f t="shared" si="12"/>
        <v>332000</v>
      </c>
      <c r="L30" s="75">
        <f t="shared" si="3"/>
        <v>7296</v>
      </c>
      <c r="M30" s="75">
        <f t="shared" si="13"/>
        <v>339296</v>
      </c>
      <c r="N30" s="75"/>
      <c r="O30" s="75">
        <f t="shared" si="14"/>
        <v>7881000</v>
      </c>
      <c r="P30" s="75">
        <f t="shared" si="15"/>
        <v>7611000</v>
      </c>
      <c r="Q30" s="75">
        <f t="shared" si="16"/>
        <v>0</v>
      </c>
      <c r="R30" s="75">
        <f t="shared" si="5"/>
        <v>256517.21416381767</v>
      </c>
      <c r="S30" s="75">
        <f t="shared" si="6"/>
        <v>526517.2141638177</v>
      </c>
      <c r="T30" s="200">
        <f t="shared" si="24"/>
        <v>1535959.8983302666</v>
      </c>
      <c r="U30" s="200">
        <f t="shared" si="7"/>
        <v>1766277.716166449</v>
      </c>
      <c r="V30" s="200">
        <f t="shared" si="8"/>
        <v>230317.81783618231</v>
      </c>
      <c r="W30" s="77">
        <f t="shared" si="17"/>
        <v>1.5069813790246456</v>
      </c>
      <c r="X30" s="81"/>
      <c r="Z30" s="154">
        <f t="shared" si="18"/>
        <v>332000</v>
      </c>
      <c r="AA30" s="154">
        <f>'[1]Original WQB - 2.7% Growth'!I31</f>
        <v>395000</v>
      </c>
      <c r="AB30" s="154">
        <f t="shared" si="28"/>
        <v>-63000</v>
      </c>
      <c r="AC30" s="154"/>
      <c r="AD30" s="176">
        <f t="shared" si="25"/>
        <v>2029</v>
      </c>
      <c r="AE30" s="172">
        <f t="shared" si="25"/>
        <v>13</v>
      </c>
      <c r="AF30" s="190">
        <f t="shared" si="20"/>
        <v>332000</v>
      </c>
      <c r="AG30" s="173">
        <f t="shared" si="9"/>
        <v>291715.98295844655</v>
      </c>
      <c r="AH30" s="173">
        <f t="shared" si="10"/>
        <v>410000</v>
      </c>
      <c r="AI30" s="177">
        <f t="shared" si="11"/>
        <v>360251.66570169601</v>
      </c>
    </row>
    <row r="31" spans="1:35" ht="11.25" x14ac:dyDescent="0.2">
      <c r="A31" s="138">
        <f t="shared" si="21"/>
        <v>2030</v>
      </c>
      <c r="B31" s="150">
        <v>20</v>
      </c>
      <c r="C31" s="151">
        <f t="shared" si="26"/>
        <v>2.7E-2</v>
      </c>
      <c r="D31" s="152" t="str">
        <f t="shared" si="22"/>
        <v>25</v>
      </c>
      <c r="E31" s="24">
        <f t="shared" si="23"/>
        <v>939</v>
      </c>
      <c r="F31" s="75">
        <f t="shared" si="0"/>
        <v>600009.73200000008</v>
      </c>
      <c r="G31" s="75">
        <f t="shared" si="1"/>
        <v>180000</v>
      </c>
      <c r="H31" s="75">
        <f t="shared" si="2"/>
        <v>780009.73200000008</v>
      </c>
      <c r="I31" s="75">
        <f t="shared" si="29"/>
        <v>270000</v>
      </c>
      <c r="J31" s="75">
        <f t="shared" si="30"/>
        <v>75000</v>
      </c>
      <c r="K31" s="75">
        <f t="shared" si="12"/>
        <v>345000</v>
      </c>
      <c r="L31" s="75">
        <f t="shared" si="3"/>
        <v>8896</v>
      </c>
      <c r="M31" s="75">
        <f t="shared" si="13"/>
        <v>353896</v>
      </c>
      <c r="N31" s="75"/>
      <c r="O31" s="75">
        <f t="shared" si="14"/>
        <v>7611000</v>
      </c>
      <c r="P31" s="75">
        <f t="shared" si="15"/>
        <v>7341000</v>
      </c>
      <c r="Q31" s="75">
        <f t="shared" si="16"/>
        <v>0</v>
      </c>
      <c r="R31" s="75">
        <f t="shared" si="5"/>
        <v>261134.52401876642</v>
      </c>
      <c r="S31" s="75">
        <f t="shared" si="6"/>
        <v>531134.52401876636</v>
      </c>
      <c r="T31" s="200">
        <f t="shared" si="24"/>
        <v>1766277.716166449</v>
      </c>
      <c r="U31" s="200">
        <f t="shared" si="7"/>
        <v>2015152.9241476827</v>
      </c>
      <c r="V31" s="200">
        <f t="shared" si="8"/>
        <v>248875.20798123372</v>
      </c>
      <c r="W31" s="77">
        <f t="shared" si="17"/>
        <v>1.5039861100905323</v>
      </c>
      <c r="X31" s="81"/>
      <c r="Z31" s="154">
        <f t="shared" si="18"/>
        <v>345000</v>
      </c>
      <c r="AA31" s="154">
        <f>'[1]Original WQB - 2.7% Growth'!I32</f>
        <v>400000</v>
      </c>
      <c r="AB31" s="154">
        <f t="shared" si="28"/>
        <v>-55000</v>
      </c>
      <c r="AC31" s="154"/>
      <c r="AD31" s="176">
        <f t="shared" si="25"/>
        <v>2030</v>
      </c>
      <c r="AE31" s="172">
        <f t="shared" si="25"/>
        <v>14</v>
      </c>
      <c r="AF31" s="190">
        <f t="shared" si="20"/>
        <v>345000</v>
      </c>
      <c r="AG31" s="173">
        <f t="shared" si="9"/>
        <v>300137.22450394859</v>
      </c>
      <c r="AH31" s="173">
        <f t="shared" si="10"/>
        <v>415000</v>
      </c>
      <c r="AI31" s="177">
        <f t="shared" si="11"/>
        <v>361034.632374315</v>
      </c>
    </row>
    <row r="32" spans="1:35" ht="11.25" x14ac:dyDescent="0.2">
      <c r="A32" s="138">
        <f t="shared" si="21"/>
        <v>2031</v>
      </c>
      <c r="B32" s="150">
        <v>21</v>
      </c>
      <c r="C32" s="151">
        <f t="shared" si="26"/>
        <v>2.7E-2</v>
      </c>
      <c r="D32" s="152" t="str">
        <f t="shared" si="22"/>
        <v>25</v>
      </c>
      <c r="E32" s="24">
        <f t="shared" si="23"/>
        <v>964</v>
      </c>
      <c r="F32" s="75">
        <f t="shared" si="0"/>
        <v>615984.43200000003</v>
      </c>
      <c r="G32" s="75">
        <f t="shared" si="1"/>
        <v>180000</v>
      </c>
      <c r="H32" s="75">
        <f t="shared" si="2"/>
        <v>795984.43200000003</v>
      </c>
      <c r="I32" s="75">
        <f t="shared" si="29"/>
        <v>270000</v>
      </c>
      <c r="J32" s="75">
        <f t="shared" si="30"/>
        <v>88000</v>
      </c>
      <c r="K32" s="75">
        <f t="shared" si="12"/>
        <v>358000</v>
      </c>
      <c r="L32" s="75">
        <f t="shared" si="3"/>
        <v>10496</v>
      </c>
      <c r="M32" s="75">
        <f t="shared" si="13"/>
        <v>368496</v>
      </c>
      <c r="N32" s="75"/>
      <c r="O32" s="75">
        <f t="shared" si="14"/>
        <v>7341000</v>
      </c>
      <c r="P32" s="75">
        <f t="shared" si="15"/>
        <v>7071000</v>
      </c>
      <c r="Q32" s="75">
        <f t="shared" si="16"/>
        <v>0</v>
      </c>
      <c r="R32" s="75">
        <f t="shared" si="5"/>
        <v>265834.9454511042</v>
      </c>
      <c r="S32" s="75">
        <f t="shared" si="6"/>
        <v>535834.9454511042</v>
      </c>
      <c r="T32" s="200">
        <f t="shared" si="24"/>
        <v>2015152.9241476827</v>
      </c>
      <c r="U32" s="200">
        <f t="shared" si="7"/>
        <v>2275302.4106965787</v>
      </c>
      <c r="V32" s="200">
        <f t="shared" si="8"/>
        <v>260149.48654889583</v>
      </c>
      <c r="W32" s="77">
        <f t="shared" si="17"/>
        <v>1.480864487566748</v>
      </c>
      <c r="X32" s="81"/>
      <c r="Z32" s="154">
        <f t="shared" si="18"/>
        <v>358000</v>
      </c>
      <c r="AA32" s="154">
        <f>'[1]Original WQB - 2.7% Growth'!I33</f>
        <v>405000</v>
      </c>
      <c r="AB32" s="154">
        <f t="shared" si="28"/>
        <v>-47000</v>
      </c>
      <c r="AC32" s="154"/>
      <c r="AD32" s="176">
        <f t="shared" si="25"/>
        <v>2031</v>
      </c>
      <c r="AE32" s="172">
        <f t="shared" si="25"/>
        <v>15</v>
      </c>
      <c r="AF32" s="190">
        <f t="shared" si="20"/>
        <v>358000</v>
      </c>
      <c r="AG32" s="173">
        <f t="shared" si="9"/>
        <v>308363.11198855971</v>
      </c>
      <c r="AH32" s="173">
        <f t="shared" si="10"/>
        <v>420000</v>
      </c>
      <c r="AI32" s="177">
        <f t="shared" si="11"/>
        <v>361766.77942791925</v>
      </c>
    </row>
    <row r="33" spans="1:35" s="82" customFormat="1" ht="11.25" x14ac:dyDescent="0.2">
      <c r="A33" s="138">
        <f t="shared" si="21"/>
        <v>2032</v>
      </c>
      <c r="B33" s="150">
        <v>22</v>
      </c>
      <c r="C33" s="151">
        <f t="shared" si="26"/>
        <v>2.7E-2</v>
      </c>
      <c r="D33" s="152" t="str">
        <f t="shared" si="22"/>
        <v>26</v>
      </c>
      <c r="E33" s="24">
        <f t="shared" si="23"/>
        <v>990</v>
      </c>
      <c r="F33" s="75">
        <f t="shared" si="0"/>
        <v>632598.12000000011</v>
      </c>
      <c r="G33" s="75">
        <f t="shared" si="1"/>
        <v>187200</v>
      </c>
      <c r="H33" s="75">
        <f t="shared" si="2"/>
        <v>819798.12000000011</v>
      </c>
      <c r="I33" s="75">
        <f t="shared" si="29"/>
        <v>270000</v>
      </c>
      <c r="J33" s="75">
        <f t="shared" si="30"/>
        <v>101000</v>
      </c>
      <c r="K33" s="75">
        <f t="shared" si="12"/>
        <v>371000</v>
      </c>
      <c r="L33" s="75">
        <f t="shared" si="3"/>
        <v>12160</v>
      </c>
      <c r="M33" s="75">
        <f t="shared" si="13"/>
        <v>383160</v>
      </c>
      <c r="N33" s="75"/>
      <c r="O33" s="75">
        <f t="shared" si="14"/>
        <v>7071000</v>
      </c>
      <c r="P33" s="75">
        <f t="shared" si="15"/>
        <v>6801000</v>
      </c>
      <c r="Q33" s="75">
        <f t="shared" si="16"/>
        <v>0</v>
      </c>
      <c r="R33" s="75">
        <f t="shared" si="5"/>
        <v>270619.97446922405</v>
      </c>
      <c r="S33" s="75">
        <f t="shared" si="6"/>
        <v>540619.97446922399</v>
      </c>
      <c r="T33" s="200">
        <f t="shared" si="24"/>
        <v>2275302.4106965787</v>
      </c>
      <c r="U33" s="200">
        <f t="shared" si="7"/>
        <v>2554480.5562273548</v>
      </c>
      <c r="V33" s="200">
        <f t="shared" si="8"/>
        <v>279178.14553077612</v>
      </c>
      <c r="W33" s="77">
        <f t="shared" si="17"/>
        <v>1.4802645432096391</v>
      </c>
      <c r="Z33" s="154">
        <f t="shared" si="18"/>
        <v>371000</v>
      </c>
      <c r="AA33" s="154">
        <f>'[1]Original WQB - 2.7% Growth'!I34</f>
        <v>410000</v>
      </c>
      <c r="AB33" s="154">
        <f t="shared" si="28"/>
        <v>-39000</v>
      </c>
      <c r="AC33" s="154"/>
      <c r="AD33" s="176">
        <f t="shared" si="25"/>
        <v>2032</v>
      </c>
      <c r="AE33" s="172">
        <f t="shared" si="25"/>
        <v>16</v>
      </c>
      <c r="AF33" s="190">
        <f t="shared" si="20"/>
        <v>371000</v>
      </c>
      <c r="AG33" s="173">
        <f t="shared" si="9"/>
        <v>316396.68827854306</v>
      </c>
      <c r="AH33" s="173">
        <f t="shared" si="10"/>
        <v>425000</v>
      </c>
      <c r="AI33" s="177">
        <f t="shared" si="11"/>
        <v>362449.03643768415</v>
      </c>
    </row>
    <row r="34" spans="1:35" ht="11.25" x14ac:dyDescent="0.2">
      <c r="A34" s="138">
        <f t="shared" si="21"/>
        <v>2033</v>
      </c>
      <c r="B34" s="150">
        <v>23</v>
      </c>
      <c r="C34" s="151">
        <f t="shared" si="26"/>
        <v>2.7E-2</v>
      </c>
      <c r="D34" s="152" t="str">
        <f t="shared" si="22"/>
        <v>27</v>
      </c>
      <c r="E34" s="24">
        <f t="shared" si="23"/>
        <v>1017</v>
      </c>
      <c r="F34" s="75">
        <f t="shared" si="0"/>
        <v>649850.79600000009</v>
      </c>
      <c r="G34" s="75">
        <f t="shared" si="1"/>
        <v>194400</v>
      </c>
      <c r="H34" s="75">
        <f t="shared" si="2"/>
        <v>844250.79600000009</v>
      </c>
      <c r="I34" s="75">
        <f t="shared" si="29"/>
        <v>270000</v>
      </c>
      <c r="J34" s="75">
        <f t="shared" si="30"/>
        <v>115000</v>
      </c>
      <c r="K34" s="75">
        <f t="shared" si="12"/>
        <v>385000</v>
      </c>
      <c r="L34" s="75">
        <f t="shared" si="3"/>
        <v>13888</v>
      </c>
      <c r="M34" s="75">
        <f t="shared" si="13"/>
        <v>398888</v>
      </c>
      <c r="N34" s="75"/>
      <c r="O34" s="75">
        <f t="shared" si="14"/>
        <v>6801000</v>
      </c>
      <c r="P34" s="75">
        <f t="shared" si="15"/>
        <v>6531000</v>
      </c>
      <c r="Q34" s="75">
        <f t="shared" si="16"/>
        <v>0</v>
      </c>
      <c r="R34" s="75">
        <f t="shared" si="5"/>
        <v>275491.13400967018</v>
      </c>
      <c r="S34" s="75">
        <f t="shared" si="6"/>
        <v>545491.13400967023</v>
      </c>
      <c r="T34" s="200">
        <f t="shared" si="24"/>
        <v>2554480.5562273548</v>
      </c>
      <c r="U34" s="200">
        <f t="shared" si="7"/>
        <v>2853240.2182176849</v>
      </c>
      <c r="V34" s="200">
        <f t="shared" si="8"/>
        <v>298759.66199032986</v>
      </c>
      <c r="W34" s="77">
        <f t="shared" si="17"/>
        <v>1.4772978233515062</v>
      </c>
      <c r="X34" s="81"/>
      <c r="Z34" s="154">
        <f t="shared" si="18"/>
        <v>385000</v>
      </c>
      <c r="AA34" s="154">
        <f>'[1]Original WQB - 2.7% Growth'!I35</f>
        <v>415000</v>
      </c>
      <c r="AB34" s="154">
        <f t="shared" si="28"/>
        <v>-30000</v>
      </c>
      <c r="AC34" s="154"/>
      <c r="AD34" s="176">
        <f t="shared" si="25"/>
        <v>2033</v>
      </c>
      <c r="AE34" s="172">
        <f t="shared" si="25"/>
        <v>17</v>
      </c>
      <c r="AF34" s="190">
        <f t="shared" si="20"/>
        <v>385000</v>
      </c>
      <c r="AG34" s="173">
        <f t="shared" si="9"/>
        <v>325085.3326231995</v>
      </c>
      <c r="AH34" s="173">
        <f t="shared" si="10"/>
        <v>430000</v>
      </c>
      <c r="AI34" s="177">
        <f t="shared" si="11"/>
        <v>363082.31955318386</v>
      </c>
    </row>
    <row r="35" spans="1:35" ht="11.25" x14ac:dyDescent="0.2">
      <c r="A35" s="138">
        <f t="shared" si="21"/>
        <v>2034</v>
      </c>
      <c r="B35" s="150">
        <v>24</v>
      </c>
      <c r="C35" s="151">
        <f t="shared" si="26"/>
        <v>2.7E-2</v>
      </c>
      <c r="D35" s="152" t="str">
        <f t="shared" si="22"/>
        <v>27</v>
      </c>
      <c r="E35" s="24">
        <f t="shared" si="23"/>
        <v>1044</v>
      </c>
      <c r="F35" s="75">
        <f t="shared" si="0"/>
        <v>667103.47200000007</v>
      </c>
      <c r="G35" s="75">
        <f t="shared" si="1"/>
        <v>194400</v>
      </c>
      <c r="H35" s="75">
        <f t="shared" si="2"/>
        <v>861503.47200000007</v>
      </c>
      <c r="I35" s="75">
        <f t="shared" si="29"/>
        <v>270000</v>
      </c>
      <c r="J35" s="75">
        <f t="shared" si="30"/>
        <v>128000</v>
      </c>
      <c r="K35" s="75">
        <f t="shared" si="12"/>
        <v>398000</v>
      </c>
      <c r="L35" s="75">
        <f t="shared" si="3"/>
        <v>15616</v>
      </c>
      <c r="M35" s="75">
        <f t="shared" si="13"/>
        <v>413616</v>
      </c>
      <c r="N35" s="75"/>
      <c r="O35" s="75">
        <f t="shared" si="14"/>
        <v>6531000</v>
      </c>
      <c r="P35" s="75">
        <f t="shared" si="15"/>
        <v>6261000</v>
      </c>
      <c r="Q35" s="75">
        <f t="shared" si="16"/>
        <v>0</v>
      </c>
      <c r="R35" s="75">
        <f t="shared" si="5"/>
        <v>280449.97442184418</v>
      </c>
      <c r="S35" s="75">
        <f t="shared" si="6"/>
        <v>550449.97442184412</v>
      </c>
      <c r="T35" s="200">
        <f t="shared" si="24"/>
        <v>2853240.2182176849</v>
      </c>
      <c r="U35" s="200">
        <f t="shared" si="7"/>
        <v>3164293.7157958411</v>
      </c>
      <c r="V35" s="200">
        <f t="shared" si="8"/>
        <v>311053.49757815595</v>
      </c>
      <c r="W35" s="77">
        <f t="shared" si="17"/>
        <v>1.4599334110003919</v>
      </c>
      <c r="X35" s="81"/>
      <c r="Z35" s="154">
        <f t="shared" si="18"/>
        <v>398000</v>
      </c>
      <c r="AA35" s="154">
        <f>'[1]Original WQB - 2.7% Growth'!I36</f>
        <v>420000</v>
      </c>
      <c r="AB35" s="154">
        <f t="shared" si="28"/>
        <v>-22000</v>
      </c>
      <c r="AC35" s="154"/>
      <c r="AD35" s="176">
        <f t="shared" ref="AD35:AE46" si="31">AD34+1</f>
        <v>2034</v>
      </c>
      <c r="AE35" s="172">
        <f t="shared" si="31"/>
        <v>18</v>
      </c>
      <c r="AF35" s="190">
        <f t="shared" si="20"/>
        <v>398000</v>
      </c>
      <c r="AG35" s="173">
        <f t="shared" si="9"/>
        <v>332734.89104804781</v>
      </c>
      <c r="AH35" s="173">
        <f t="shared" si="10"/>
        <v>440000</v>
      </c>
      <c r="AI35" s="177">
        <f t="shared" si="11"/>
        <v>367847.618244073</v>
      </c>
    </row>
    <row r="36" spans="1:35" ht="11.25" x14ac:dyDescent="0.2">
      <c r="A36" s="142">
        <f t="shared" si="21"/>
        <v>2035</v>
      </c>
      <c r="B36" s="155">
        <v>25</v>
      </c>
      <c r="C36" s="156">
        <f t="shared" si="26"/>
        <v>2.7E-2</v>
      </c>
      <c r="D36" s="157" t="str">
        <f t="shared" si="22"/>
        <v>28</v>
      </c>
      <c r="E36" s="158">
        <f t="shared" si="23"/>
        <v>1072</v>
      </c>
      <c r="F36" s="159">
        <f t="shared" si="0"/>
        <v>684995.13600000006</v>
      </c>
      <c r="G36" s="159">
        <f t="shared" si="1"/>
        <v>201600</v>
      </c>
      <c r="H36" s="159">
        <f t="shared" si="2"/>
        <v>886595.13600000006</v>
      </c>
      <c r="I36" s="159">
        <f t="shared" si="29"/>
        <v>270000</v>
      </c>
      <c r="J36" s="159">
        <f t="shared" si="30"/>
        <v>143000</v>
      </c>
      <c r="K36" s="159">
        <f t="shared" si="12"/>
        <v>413000</v>
      </c>
      <c r="L36" s="159">
        <f t="shared" si="3"/>
        <v>17408</v>
      </c>
      <c r="M36" s="159">
        <f t="shared" si="13"/>
        <v>430408</v>
      </c>
      <c r="N36" s="159"/>
      <c r="O36" s="159">
        <f t="shared" si="14"/>
        <v>6261000</v>
      </c>
      <c r="P36" s="159">
        <f t="shared" si="15"/>
        <v>5991000</v>
      </c>
      <c r="Q36" s="159">
        <f t="shared" si="16"/>
        <v>0</v>
      </c>
      <c r="R36" s="159">
        <f t="shared" si="5"/>
        <v>285498.07396143739</v>
      </c>
      <c r="S36" s="159">
        <f t="shared" si="6"/>
        <v>555498.07396143745</v>
      </c>
      <c r="T36" s="201">
        <f t="shared" si="24"/>
        <v>3164293.7157958411</v>
      </c>
      <c r="U36" s="201">
        <f t="shared" si="7"/>
        <v>3495390.7778344033</v>
      </c>
      <c r="V36" s="201">
        <f t="shared" si="8"/>
        <v>331097.06203856261</v>
      </c>
      <c r="W36" s="160">
        <f t="shared" si="17"/>
        <v>1.4554408281805393</v>
      </c>
      <c r="X36" s="81"/>
      <c r="Z36" s="154">
        <f t="shared" si="18"/>
        <v>413000</v>
      </c>
      <c r="AA36" s="154">
        <f>'[1]Original WQB - 2.7% Growth'!I37</f>
        <v>425000</v>
      </c>
      <c r="AB36" s="154">
        <f t="shared" si="28"/>
        <v>-12000</v>
      </c>
      <c r="AC36" s="154"/>
      <c r="AD36" s="176">
        <f t="shared" si="31"/>
        <v>2035</v>
      </c>
      <c r="AE36" s="172">
        <f t="shared" si="31"/>
        <v>19</v>
      </c>
      <c r="AF36" s="190">
        <f t="shared" si="20"/>
        <v>413000</v>
      </c>
      <c r="AG36" s="173">
        <f t="shared" si="9"/>
        <v>341856.58491179609</v>
      </c>
      <c r="AH36" s="173">
        <f t="shared" si="10"/>
        <v>450000</v>
      </c>
      <c r="AI36" s="177">
        <f t="shared" si="11"/>
        <v>372482.9617683008</v>
      </c>
    </row>
    <row r="37" spans="1:35" ht="11.25" x14ac:dyDescent="0.2">
      <c r="A37" s="138">
        <f t="shared" si="21"/>
        <v>2036</v>
      </c>
      <c r="B37" s="150">
        <v>26</v>
      </c>
      <c r="C37" s="151">
        <f t="shared" si="26"/>
        <v>2.7E-2</v>
      </c>
      <c r="D37" s="152" t="str">
        <f t="shared" si="22"/>
        <v>29</v>
      </c>
      <c r="E37" s="24">
        <f t="shared" si="23"/>
        <v>1101</v>
      </c>
      <c r="F37" s="75">
        <f t="shared" si="0"/>
        <v>703525.78800000006</v>
      </c>
      <c r="G37" s="75">
        <f t="shared" si="1"/>
        <v>208800</v>
      </c>
      <c r="H37" s="75">
        <f t="shared" si="2"/>
        <v>912325.78800000006</v>
      </c>
      <c r="I37" s="75">
        <f t="shared" si="29"/>
        <v>270000</v>
      </c>
      <c r="J37" s="75">
        <f t="shared" ref="J37:J45" si="32">ROUND((E37-$E$36)*($W$9*12)*$N$11,-3)+$J$36</f>
        <v>159000</v>
      </c>
      <c r="K37" s="75">
        <f t="shared" si="12"/>
        <v>429000</v>
      </c>
      <c r="L37" s="75">
        <f t="shared" si="3"/>
        <v>19264</v>
      </c>
      <c r="M37" s="75">
        <f t="shared" si="13"/>
        <v>448264</v>
      </c>
      <c r="N37" s="75"/>
      <c r="O37" s="75">
        <f t="shared" si="14"/>
        <v>5991000</v>
      </c>
      <c r="P37" s="75">
        <f t="shared" si="15"/>
        <v>5721000</v>
      </c>
      <c r="Q37" s="75">
        <f t="shared" si="16"/>
        <v>0</v>
      </c>
      <c r="R37" s="75">
        <f t="shared" si="5"/>
        <v>290637.03929274325</v>
      </c>
      <c r="S37" s="75">
        <f t="shared" si="6"/>
        <v>560637.0392927432</v>
      </c>
      <c r="T37" s="200">
        <f t="shared" si="24"/>
        <v>3495390.7778344033</v>
      </c>
      <c r="U37" s="200">
        <f t="shared" si="7"/>
        <v>3847079.5265416596</v>
      </c>
      <c r="V37" s="200">
        <f t="shared" si="8"/>
        <v>351688.74870725686</v>
      </c>
      <c r="W37" s="77">
        <f t="shared" si="17"/>
        <v>1.4491579223945379</v>
      </c>
      <c r="X37" s="81"/>
      <c r="Z37" s="154">
        <f t="shared" si="18"/>
        <v>429000</v>
      </c>
      <c r="AA37" s="154">
        <f>'[1]Original WQB - 2.7% Growth'!I38</f>
        <v>430000</v>
      </c>
      <c r="AB37" s="154">
        <f t="shared" si="28"/>
        <v>-1000</v>
      </c>
      <c r="AC37" s="154"/>
      <c r="AD37" s="176">
        <f t="shared" si="31"/>
        <v>2036</v>
      </c>
      <c r="AE37" s="172">
        <f t="shared" si="31"/>
        <v>20</v>
      </c>
      <c r="AF37" s="190">
        <f t="shared" si="20"/>
        <v>429000</v>
      </c>
      <c r="AG37" s="173">
        <f t="shared" si="9"/>
        <v>351584.57777469972</v>
      </c>
      <c r="AH37" s="173">
        <f t="shared" si="10"/>
        <v>460000</v>
      </c>
      <c r="AI37" s="177">
        <f t="shared" si="11"/>
        <v>376990.45635515585</v>
      </c>
    </row>
    <row r="38" spans="1:35" ht="11.25" x14ac:dyDescent="0.2">
      <c r="A38" s="138">
        <f t="shared" si="21"/>
        <v>2037</v>
      </c>
      <c r="B38" s="150">
        <v>27</v>
      </c>
      <c r="C38" s="151">
        <f t="shared" si="26"/>
        <v>2.7E-2</v>
      </c>
      <c r="D38" s="152" t="str">
        <f t="shared" si="22"/>
        <v>30</v>
      </c>
      <c r="E38" s="24">
        <f t="shared" si="23"/>
        <v>1131</v>
      </c>
      <c r="F38" s="75">
        <f t="shared" si="0"/>
        <v>722695.42800000007</v>
      </c>
      <c r="G38" s="75">
        <f t="shared" si="1"/>
        <v>216000</v>
      </c>
      <c r="H38" s="75">
        <f t="shared" si="2"/>
        <v>938695.42800000007</v>
      </c>
      <c r="I38" s="75">
        <f t="shared" si="29"/>
        <v>270000</v>
      </c>
      <c r="J38" s="75">
        <f t="shared" si="32"/>
        <v>177000</v>
      </c>
      <c r="K38" s="75">
        <f t="shared" si="12"/>
        <v>447000</v>
      </c>
      <c r="L38" s="75">
        <f t="shared" si="3"/>
        <v>21184</v>
      </c>
      <c r="M38" s="75">
        <f t="shared" si="13"/>
        <v>468184</v>
      </c>
      <c r="N38" s="75"/>
      <c r="O38" s="75">
        <f t="shared" si="14"/>
        <v>5721000</v>
      </c>
      <c r="P38" s="75">
        <f t="shared" si="15"/>
        <v>5451000</v>
      </c>
      <c r="Q38" s="75">
        <f t="shared" si="16"/>
        <v>0</v>
      </c>
      <c r="R38" s="75">
        <f t="shared" si="5"/>
        <v>295868.50600001268</v>
      </c>
      <c r="S38" s="75">
        <f t="shared" si="6"/>
        <v>565868.50600001263</v>
      </c>
      <c r="T38" s="200">
        <f t="shared" si="24"/>
        <v>3847079.5265416596</v>
      </c>
      <c r="U38" s="200">
        <f t="shared" si="7"/>
        <v>4219906.4485416468</v>
      </c>
      <c r="V38" s="200">
        <f t="shared" si="8"/>
        <v>372826.92199998745</v>
      </c>
      <c r="W38" s="77">
        <f t="shared" si="17"/>
        <v>1.438091548098406</v>
      </c>
      <c r="X38" s="81"/>
      <c r="Z38" s="154">
        <f t="shared" si="18"/>
        <v>447000</v>
      </c>
      <c r="AA38" s="154">
        <f>'[1]Original WQB - 2.7% Growth'!I39</f>
        <v>440000</v>
      </c>
      <c r="AB38" s="154">
        <f t="shared" si="28"/>
        <v>7000</v>
      </c>
      <c r="AC38" s="154"/>
      <c r="AD38" s="176">
        <f t="shared" si="31"/>
        <v>2037</v>
      </c>
      <c r="AE38" s="172">
        <f t="shared" si="31"/>
        <v>21</v>
      </c>
      <c r="AF38" s="190">
        <f t="shared" si="20"/>
        <v>447000</v>
      </c>
      <c r="AG38" s="173">
        <f t="shared" si="9"/>
        <v>362709.28538690211</v>
      </c>
      <c r="AH38" s="173">
        <f t="shared" si="10"/>
        <v>470000</v>
      </c>
      <c r="AI38" s="177">
        <f t="shared" si="11"/>
        <v>381372.17926587019</v>
      </c>
    </row>
    <row r="39" spans="1:35" ht="11.25" x14ac:dyDescent="0.2">
      <c r="A39" s="153">
        <f t="shared" si="21"/>
        <v>2038</v>
      </c>
      <c r="B39" s="150">
        <v>28</v>
      </c>
      <c r="C39" s="151">
        <f t="shared" si="26"/>
        <v>2.7E-2</v>
      </c>
      <c r="D39" s="152" t="str">
        <f t="shared" si="22"/>
        <v>31</v>
      </c>
      <c r="E39" s="24">
        <f t="shared" si="23"/>
        <v>1162</v>
      </c>
      <c r="F39" s="75">
        <f t="shared" si="0"/>
        <v>742504.0560000001</v>
      </c>
      <c r="G39" s="75">
        <f t="shared" si="1"/>
        <v>223200</v>
      </c>
      <c r="H39" s="75">
        <f t="shared" si="2"/>
        <v>965704.0560000001</v>
      </c>
      <c r="I39" s="75">
        <f t="shared" si="29"/>
        <v>270000</v>
      </c>
      <c r="J39" s="75">
        <f t="shared" si="32"/>
        <v>194000</v>
      </c>
      <c r="K39" s="75">
        <f t="shared" si="12"/>
        <v>464000</v>
      </c>
      <c r="L39" s="75">
        <f t="shared" si="3"/>
        <v>23168</v>
      </c>
      <c r="M39" s="75">
        <f t="shared" si="13"/>
        <v>487168</v>
      </c>
      <c r="O39" s="75">
        <f t="shared" si="14"/>
        <v>5451000</v>
      </c>
      <c r="P39" s="75">
        <f t="shared" si="15"/>
        <v>5181000</v>
      </c>
      <c r="Q39" s="75">
        <f t="shared" si="16"/>
        <v>0</v>
      </c>
      <c r="R39" s="75">
        <f t="shared" si="5"/>
        <v>301194.13910801284</v>
      </c>
      <c r="S39" s="75">
        <f t="shared" si="6"/>
        <v>571194.1391080129</v>
      </c>
      <c r="T39" s="200">
        <f t="shared" si="24"/>
        <v>4219906.4485416468</v>
      </c>
      <c r="U39" s="200">
        <f t="shared" si="7"/>
        <v>4614416.3654336333</v>
      </c>
      <c r="V39" s="200">
        <f t="shared" si="8"/>
        <v>394509.9168919872</v>
      </c>
      <c r="W39" s="77">
        <f t="shared" si="17"/>
        <v>1.4321334415775586</v>
      </c>
      <c r="X39" s="81"/>
      <c r="Z39" s="154">
        <f t="shared" si="18"/>
        <v>464000</v>
      </c>
      <c r="AA39" s="154">
        <f>'[1]Original WQB - 2.7% Growth'!I40</f>
        <v>450000</v>
      </c>
      <c r="AB39" s="154">
        <f t="shared" si="28"/>
        <v>14000</v>
      </c>
      <c r="AC39" s="154"/>
      <c r="AD39" s="176">
        <f t="shared" si="31"/>
        <v>2038</v>
      </c>
      <c r="AE39" s="172">
        <f t="shared" si="31"/>
        <v>22</v>
      </c>
      <c r="AF39" s="190">
        <f t="shared" si="20"/>
        <v>464000</v>
      </c>
      <c r="AG39" s="173">
        <f t="shared" si="9"/>
        <v>372775.83985541126</v>
      </c>
      <c r="AH39" s="173">
        <f t="shared" si="10"/>
        <v>480000</v>
      </c>
      <c r="AI39" s="177">
        <f t="shared" si="11"/>
        <v>385630.17916077026</v>
      </c>
    </row>
    <row r="40" spans="1:35" ht="11.25" x14ac:dyDescent="0.2">
      <c r="A40" s="153">
        <f t="shared" si="21"/>
        <v>2039</v>
      </c>
      <c r="B40" s="150">
        <v>29</v>
      </c>
      <c r="C40" s="151">
        <f t="shared" si="26"/>
        <v>2.7E-2</v>
      </c>
      <c r="D40" s="152" t="str">
        <f t="shared" si="22"/>
        <v>31</v>
      </c>
      <c r="E40" s="24">
        <f t="shared" si="23"/>
        <v>1193</v>
      </c>
      <c r="F40" s="75">
        <f t="shared" si="0"/>
        <v>762312.68400000012</v>
      </c>
      <c r="G40" s="75">
        <f t="shared" si="1"/>
        <v>223200</v>
      </c>
      <c r="H40" s="75">
        <f t="shared" si="2"/>
        <v>985512.68400000012</v>
      </c>
      <c r="I40" s="75">
        <f t="shared" si="29"/>
        <v>270000</v>
      </c>
      <c r="J40" s="75">
        <f t="shared" si="32"/>
        <v>212000</v>
      </c>
      <c r="K40" s="75">
        <f t="shared" si="12"/>
        <v>482000</v>
      </c>
      <c r="L40" s="75">
        <f t="shared" si="3"/>
        <v>25152</v>
      </c>
      <c r="M40" s="75">
        <f t="shared" si="13"/>
        <v>507152</v>
      </c>
      <c r="O40" s="75">
        <f t="shared" si="14"/>
        <v>5181000</v>
      </c>
      <c r="P40" s="75">
        <f t="shared" si="15"/>
        <v>4911000</v>
      </c>
      <c r="Q40" s="75">
        <f t="shared" si="16"/>
        <v>0</v>
      </c>
      <c r="R40" s="75">
        <f t="shared" si="5"/>
        <v>306615.63361195714</v>
      </c>
      <c r="S40" s="75">
        <f t="shared" si="6"/>
        <v>576615.63361195708</v>
      </c>
      <c r="T40" s="200">
        <f t="shared" si="24"/>
        <v>4614416.3654336333</v>
      </c>
      <c r="U40" s="200">
        <f t="shared" si="7"/>
        <v>5023313.4158216771</v>
      </c>
      <c r="V40" s="200">
        <f t="shared" si="8"/>
        <v>408897.05038804305</v>
      </c>
      <c r="W40" s="77">
        <f t="shared" si="17"/>
        <v>1.4085001045395085</v>
      </c>
      <c r="X40" s="81"/>
      <c r="Z40" s="154">
        <f t="shared" si="18"/>
        <v>482000</v>
      </c>
      <c r="AA40" s="154">
        <f>'[1]Original WQB - 2.7% Growth'!I41</f>
        <v>460000</v>
      </c>
      <c r="AB40" s="154">
        <f t="shared" si="28"/>
        <v>22000</v>
      </c>
      <c r="AC40" s="154"/>
      <c r="AD40" s="176">
        <f t="shared" si="31"/>
        <v>2039</v>
      </c>
      <c r="AE40" s="172">
        <f t="shared" si="31"/>
        <v>23</v>
      </c>
      <c r="AF40" s="190">
        <f t="shared" si="20"/>
        <v>482000</v>
      </c>
      <c r="AG40" s="173">
        <f t="shared" si="9"/>
        <v>383402.94215241604</v>
      </c>
      <c r="AH40" s="173">
        <f t="shared" si="10"/>
        <v>490000</v>
      </c>
      <c r="AI40" s="177">
        <f t="shared" si="11"/>
        <v>389766.4764619997</v>
      </c>
    </row>
    <row r="41" spans="1:35" ht="11.25" x14ac:dyDescent="0.2">
      <c r="A41" s="153">
        <f t="shared" si="21"/>
        <v>2040</v>
      </c>
      <c r="B41" s="150">
        <v>30</v>
      </c>
      <c r="C41" s="151">
        <f t="shared" si="26"/>
        <v>2.7E-2</v>
      </c>
      <c r="D41" s="152" t="str">
        <f t="shared" si="22"/>
        <v>32</v>
      </c>
      <c r="E41" s="24">
        <f t="shared" si="23"/>
        <v>1225</v>
      </c>
      <c r="F41" s="75">
        <f t="shared" si="0"/>
        <v>782760.3</v>
      </c>
      <c r="G41" s="75">
        <f t="shared" si="1"/>
        <v>230400</v>
      </c>
      <c r="H41" s="75">
        <f t="shared" si="2"/>
        <v>1013160.3</v>
      </c>
      <c r="I41" s="75">
        <f t="shared" si="29"/>
        <v>270000</v>
      </c>
      <c r="J41" s="75">
        <f t="shared" si="32"/>
        <v>230000</v>
      </c>
      <c r="K41" s="75">
        <f t="shared" si="12"/>
        <v>500000</v>
      </c>
      <c r="L41" s="75">
        <f t="shared" si="3"/>
        <v>27200</v>
      </c>
      <c r="M41" s="75">
        <f t="shared" si="13"/>
        <v>527200</v>
      </c>
      <c r="O41" s="75">
        <f t="shared" si="14"/>
        <v>4911000</v>
      </c>
      <c r="P41" s="75">
        <f t="shared" si="15"/>
        <v>4641000</v>
      </c>
      <c r="Q41" s="75">
        <f t="shared" si="16"/>
        <v>0</v>
      </c>
      <c r="R41" s="75">
        <f t="shared" si="5"/>
        <v>312134.71501697233</v>
      </c>
      <c r="S41" s="75">
        <f t="shared" si="6"/>
        <v>582134.71501697227</v>
      </c>
      <c r="T41" s="200">
        <f t="shared" si="24"/>
        <v>5023313.4158216771</v>
      </c>
      <c r="U41" s="200">
        <f t="shared" si="7"/>
        <v>5454339.0008047046</v>
      </c>
      <c r="V41" s="200">
        <f t="shared" si="8"/>
        <v>431025.58498302777</v>
      </c>
      <c r="W41" s="77">
        <f t="shared" si="17"/>
        <v>1.4020511699660556</v>
      </c>
      <c r="X41" s="81"/>
      <c r="Z41" s="154">
        <f t="shared" si="18"/>
        <v>500000</v>
      </c>
      <c r="AA41" s="154">
        <f>'[1]Original WQB - 2.7% Growth'!I42</f>
        <v>470000</v>
      </c>
      <c r="AB41" s="154">
        <f t="shared" si="28"/>
        <v>30000</v>
      </c>
      <c r="AC41" s="154"/>
      <c r="AD41" s="176">
        <f t="shared" si="31"/>
        <v>2040</v>
      </c>
      <c r="AE41" s="172">
        <f t="shared" si="31"/>
        <v>24</v>
      </c>
      <c r="AF41" s="190">
        <f t="shared" si="20"/>
        <v>500000</v>
      </c>
      <c r="AG41" s="173">
        <f t="shared" si="9"/>
        <v>393783.06371186062</v>
      </c>
      <c r="AH41" s="173">
        <f t="shared" si="10"/>
        <v>490000</v>
      </c>
      <c r="AI41" s="177">
        <f t="shared" si="11"/>
        <v>385907.40243762342</v>
      </c>
    </row>
    <row r="42" spans="1:35" ht="11.25" x14ac:dyDescent="0.2">
      <c r="A42" s="153">
        <f t="shared" si="21"/>
        <v>2041</v>
      </c>
      <c r="B42" s="150">
        <v>31</v>
      </c>
      <c r="C42" s="151">
        <f t="shared" si="26"/>
        <v>2.7E-2</v>
      </c>
      <c r="D42" s="152" t="str">
        <f t="shared" si="22"/>
        <v>33</v>
      </c>
      <c r="E42" s="24">
        <f t="shared" si="23"/>
        <v>1258</v>
      </c>
      <c r="F42" s="75">
        <f t="shared" si="0"/>
        <v>803846.9040000001</v>
      </c>
      <c r="G42" s="75">
        <f t="shared" si="1"/>
        <v>237600</v>
      </c>
      <c r="H42" s="75">
        <f t="shared" si="2"/>
        <v>1041446.9040000001</v>
      </c>
      <c r="I42" s="75">
        <f t="shared" si="29"/>
        <v>270000</v>
      </c>
      <c r="J42" s="75">
        <f t="shared" si="32"/>
        <v>249000</v>
      </c>
      <c r="K42" s="75">
        <f t="shared" si="12"/>
        <v>519000</v>
      </c>
      <c r="L42" s="75">
        <f t="shared" si="3"/>
        <v>29312</v>
      </c>
      <c r="M42" s="75">
        <f t="shared" si="13"/>
        <v>548312</v>
      </c>
      <c r="O42" s="75">
        <f t="shared" si="14"/>
        <v>4641000</v>
      </c>
      <c r="P42" s="75">
        <f t="shared" si="15"/>
        <v>4371000</v>
      </c>
      <c r="Q42" s="75">
        <f t="shared" si="16"/>
        <v>0</v>
      </c>
      <c r="R42" s="75">
        <f t="shared" si="5"/>
        <v>317753.13988727785</v>
      </c>
      <c r="S42" s="75">
        <f t="shared" si="6"/>
        <v>587753.13988727785</v>
      </c>
      <c r="T42" s="200">
        <f t="shared" si="24"/>
        <v>5454339.0008047046</v>
      </c>
      <c r="U42" s="200">
        <f t="shared" si="7"/>
        <v>5908032.7649174267</v>
      </c>
      <c r="V42" s="200">
        <f t="shared" si="8"/>
        <v>453693.76411272225</v>
      </c>
      <c r="W42" s="77">
        <f t="shared" si="17"/>
        <v>1.394400316209484</v>
      </c>
      <c r="X42" s="81"/>
      <c r="Z42" s="154">
        <f t="shared" si="18"/>
        <v>519000</v>
      </c>
      <c r="AA42" s="154">
        <f>'[1]Original WQB - 2.7% Growth'!I43</f>
        <v>480000</v>
      </c>
      <c r="AB42" s="154">
        <f t="shared" si="28"/>
        <v>39000</v>
      </c>
      <c r="AC42" s="154"/>
      <c r="AD42" s="176">
        <f t="shared" si="31"/>
        <v>2041</v>
      </c>
      <c r="AE42" s="172">
        <f t="shared" si="31"/>
        <v>25</v>
      </c>
      <c r="AF42" s="190">
        <f t="shared" si="20"/>
        <v>519000</v>
      </c>
      <c r="AG42" s="173">
        <f t="shared" si="9"/>
        <v>404699.82191377348</v>
      </c>
      <c r="AH42" s="173">
        <f t="shared" si="10"/>
        <v>490000</v>
      </c>
      <c r="AI42" s="177">
        <f t="shared" si="11"/>
        <v>382086.53706695378</v>
      </c>
    </row>
    <row r="43" spans="1:35" ht="11.25" x14ac:dyDescent="0.2">
      <c r="A43" s="153">
        <f t="shared" si="21"/>
        <v>2042</v>
      </c>
      <c r="B43" s="150">
        <v>32</v>
      </c>
      <c r="C43" s="151">
        <f t="shared" si="26"/>
        <v>2.7E-2</v>
      </c>
      <c r="D43" s="152" t="str">
        <f t="shared" si="22"/>
        <v>34</v>
      </c>
      <c r="E43" s="24">
        <f t="shared" si="23"/>
        <v>1292</v>
      </c>
      <c r="F43" s="75">
        <f t="shared" si="0"/>
        <v>825572.49600000004</v>
      </c>
      <c r="G43" s="75">
        <f t="shared" si="1"/>
        <v>244800</v>
      </c>
      <c r="H43" s="75">
        <f t="shared" si="2"/>
        <v>1070372.496</v>
      </c>
      <c r="I43" s="75">
        <f t="shared" si="29"/>
        <v>270000</v>
      </c>
      <c r="J43" s="75">
        <f t="shared" si="32"/>
        <v>268000</v>
      </c>
      <c r="K43" s="75">
        <f t="shared" si="12"/>
        <v>538000</v>
      </c>
      <c r="L43" s="75">
        <f t="shared" si="3"/>
        <v>31488</v>
      </c>
      <c r="M43" s="75">
        <f t="shared" si="13"/>
        <v>569488</v>
      </c>
      <c r="O43" s="75">
        <f t="shared" si="14"/>
        <v>4371000</v>
      </c>
      <c r="P43" s="75">
        <f t="shared" si="15"/>
        <v>4101000</v>
      </c>
      <c r="Q43" s="75">
        <f t="shared" si="16"/>
        <v>0</v>
      </c>
      <c r="R43" s="75">
        <f t="shared" si="5"/>
        <v>323472.69640524883</v>
      </c>
      <c r="S43" s="75">
        <f t="shared" si="6"/>
        <v>593472.69640524883</v>
      </c>
      <c r="T43" s="200">
        <f t="shared" si="24"/>
        <v>5908032.7649174267</v>
      </c>
      <c r="U43" s="200">
        <f t="shared" si="7"/>
        <v>6384932.5645121783</v>
      </c>
      <c r="V43" s="200">
        <f t="shared" si="8"/>
        <v>476899.79959475121</v>
      </c>
      <c r="W43" s="77">
        <f t="shared" si="17"/>
        <v>1.3882895903248165</v>
      </c>
      <c r="X43" s="81"/>
      <c r="Z43" s="154">
        <f t="shared" si="18"/>
        <v>538000</v>
      </c>
      <c r="AA43" s="154">
        <f>'[1]Original WQB - 2.7% Growth'!I44</f>
        <v>490000</v>
      </c>
      <c r="AB43" s="154">
        <f t="shared" si="28"/>
        <v>48000</v>
      </c>
      <c r="AC43" s="154"/>
      <c r="AD43" s="176">
        <f t="shared" si="31"/>
        <v>2042</v>
      </c>
      <c r="AE43" s="172">
        <f t="shared" si="31"/>
        <v>26</v>
      </c>
      <c r="AF43" s="190">
        <f t="shared" si="20"/>
        <v>538000</v>
      </c>
      <c r="AG43" s="173">
        <f t="shared" si="9"/>
        <v>415361.80428777763</v>
      </c>
      <c r="AH43" s="173">
        <f t="shared" si="10"/>
        <v>0</v>
      </c>
      <c r="AI43" s="177">
        <f t="shared" si="11"/>
        <v>0</v>
      </c>
    </row>
    <row r="44" spans="1:35" ht="11.25" x14ac:dyDescent="0.2">
      <c r="A44" s="153">
        <f t="shared" si="21"/>
        <v>2043</v>
      </c>
      <c r="B44" s="150">
        <v>33</v>
      </c>
      <c r="C44" s="151">
        <f t="shared" si="26"/>
        <v>2.7E-2</v>
      </c>
      <c r="D44" s="152" t="str">
        <f t="shared" si="22"/>
        <v>35</v>
      </c>
      <c r="E44" s="24">
        <f t="shared" si="23"/>
        <v>1327</v>
      </c>
      <c r="F44" s="75">
        <f t="shared" si="0"/>
        <v>847937.07600000012</v>
      </c>
      <c r="G44" s="75">
        <f t="shared" si="1"/>
        <v>252000</v>
      </c>
      <c r="H44" s="75">
        <f t="shared" si="2"/>
        <v>1099937.0760000001</v>
      </c>
      <c r="I44" s="75">
        <f t="shared" si="29"/>
        <v>270000</v>
      </c>
      <c r="J44" s="75">
        <f t="shared" si="32"/>
        <v>288000</v>
      </c>
      <c r="K44" s="75">
        <f t="shared" si="12"/>
        <v>558000</v>
      </c>
      <c r="L44" s="75">
        <f t="shared" si="3"/>
        <v>33728</v>
      </c>
      <c r="M44" s="75">
        <f t="shared" si="13"/>
        <v>591728</v>
      </c>
      <c r="O44" s="75">
        <f t="shared" si="14"/>
        <v>4101000</v>
      </c>
      <c r="P44" s="75">
        <f t="shared" si="15"/>
        <v>3831000</v>
      </c>
      <c r="Q44" s="75">
        <f t="shared" si="16"/>
        <v>0</v>
      </c>
      <c r="R44" s="75">
        <f t="shared" si="5"/>
        <v>329295.20494054334</v>
      </c>
      <c r="S44" s="75">
        <f t="shared" si="6"/>
        <v>599295.20494054328</v>
      </c>
      <c r="T44" s="200">
        <f t="shared" si="24"/>
        <v>6384932.5645121783</v>
      </c>
      <c r="U44" s="200">
        <f t="shared" si="7"/>
        <v>6885574.4355716351</v>
      </c>
      <c r="V44" s="200">
        <f t="shared" si="8"/>
        <v>500641.87105945684</v>
      </c>
      <c r="W44" s="77">
        <f t="shared" si="17"/>
        <v>1.3810786219703528</v>
      </c>
      <c r="X44" s="81"/>
      <c r="Z44" s="154">
        <f t="shared" si="18"/>
        <v>558000</v>
      </c>
      <c r="AA44" s="154">
        <f>'[1]Original WQB - 2.7% Growth'!I45</f>
        <v>490000</v>
      </c>
      <c r="AB44" s="154">
        <f t="shared" si="28"/>
        <v>68000</v>
      </c>
      <c r="AC44" s="154"/>
      <c r="AD44" s="176">
        <f t="shared" si="31"/>
        <v>2043</v>
      </c>
      <c r="AE44" s="172">
        <f t="shared" si="31"/>
        <v>27</v>
      </c>
      <c r="AF44" s="190">
        <f t="shared" si="20"/>
        <v>558000</v>
      </c>
      <c r="AG44" s="173">
        <f t="shared" si="9"/>
        <v>426537.38965839741</v>
      </c>
      <c r="AH44" s="173">
        <v>0</v>
      </c>
      <c r="AI44" s="177">
        <f t="shared" si="11"/>
        <v>0</v>
      </c>
    </row>
    <row r="45" spans="1:35" ht="11.25" x14ac:dyDescent="0.2">
      <c r="A45" s="153">
        <f t="shared" si="21"/>
        <v>2044</v>
      </c>
      <c r="B45" s="150">
        <v>34</v>
      </c>
      <c r="C45" s="151">
        <f t="shared" si="26"/>
        <v>2.7E-2</v>
      </c>
      <c r="D45" s="152" t="str">
        <f t="shared" si="22"/>
        <v>36</v>
      </c>
      <c r="E45" s="24">
        <f t="shared" si="23"/>
        <v>1363</v>
      </c>
      <c r="F45" s="75">
        <f t="shared" si="0"/>
        <v>870940.64400000009</v>
      </c>
      <c r="G45" s="75">
        <f t="shared" si="1"/>
        <v>259200</v>
      </c>
      <c r="H45" s="75">
        <f t="shared" si="2"/>
        <v>1130140.6440000001</v>
      </c>
      <c r="I45" s="75">
        <f t="shared" si="29"/>
        <v>270000</v>
      </c>
      <c r="J45" s="75">
        <f t="shared" si="32"/>
        <v>308000</v>
      </c>
      <c r="K45" s="75">
        <f t="shared" si="12"/>
        <v>578000</v>
      </c>
      <c r="L45" s="75">
        <f t="shared" si="3"/>
        <v>36032</v>
      </c>
      <c r="M45" s="75">
        <f t="shared" si="13"/>
        <v>614032</v>
      </c>
      <c r="O45" s="75">
        <f t="shared" si="14"/>
        <v>3831000</v>
      </c>
      <c r="P45" s="75">
        <f t="shared" si="15"/>
        <v>3561000</v>
      </c>
      <c r="Q45" s="75">
        <f t="shared" si="16"/>
        <v>0</v>
      </c>
      <c r="R45" s="75">
        <f t="shared" si="5"/>
        <v>335222.51862947311</v>
      </c>
      <c r="S45" s="75">
        <f t="shared" si="6"/>
        <v>605222.51862947317</v>
      </c>
      <c r="T45" s="200">
        <f t="shared" si="24"/>
        <v>6885574.4355716351</v>
      </c>
      <c r="U45" s="200">
        <f t="shared" si="7"/>
        <v>7410492.5609421618</v>
      </c>
      <c r="V45" s="200">
        <f t="shared" si="8"/>
        <v>524918.12537052692</v>
      </c>
      <c r="W45" s="77">
        <f t="shared" si="17"/>
        <v>1.3752908743434722</v>
      </c>
      <c r="X45" s="81"/>
      <c r="Z45" s="154">
        <f t="shared" si="18"/>
        <v>578000</v>
      </c>
      <c r="AA45" s="154">
        <f>'[1]Original WQB - 2.7% Growth'!I46</f>
        <v>490000</v>
      </c>
      <c r="AB45" s="154">
        <f t="shared" si="28"/>
        <v>88000</v>
      </c>
      <c r="AC45" s="154"/>
      <c r="AD45" s="176">
        <f t="shared" si="31"/>
        <v>2044</v>
      </c>
      <c r="AE45" s="172">
        <f t="shared" si="31"/>
        <v>28</v>
      </c>
      <c r="AF45" s="190">
        <f t="shared" si="20"/>
        <v>578000</v>
      </c>
      <c r="AG45" s="173">
        <f t="shared" si="9"/>
        <v>437450.95855522499</v>
      </c>
      <c r="AH45" s="173">
        <v>0</v>
      </c>
      <c r="AI45" s="177">
        <f t="shared" si="11"/>
        <v>0</v>
      </c>
    </row>
    <row r="46" spans="1:35" thickBot="1" x14ac:dyDescent="0.25">
      <c r="A46" s="153">
        <f t="shared" si="21"/>
        <v>2045</v>
      </c>
      <c r="B46" s="150">
        <v>35</v>
      </c>
      <c r="C46" s="151">
        <f t="shared" si="26"/>
        <v>2.7E-2</v>
      </c>
      <c r="D46" s="152" t="str">
        <f t="shared" si="22"/>
        <v>37</v>
      </c>
      <c r="E46" s="24">
        <f t="shared" si="23"/>
        <v>1400</v>
      </c>
      <c r="F46" s="75">
        <f t="shared" si="0"/>
        <v>894583.20000000007</v>
      </c>
      <c r="G46" s="75">
        <f t="shared" si="1"/>
        <v>266400</v>
      </c>
      <c r="H46" s="75">
        <f t="shared" si="2"/>
        <v>1160983.2000000002</v>
      </c>
      <c r="I46" s="75">
        <f t="shared" si="29"/>
        <v>270000</v>
      </c>
      <c r="J46" s="75">
        <f>ROUND((E46-$E$36)*($W$9*12)*$N$11,-3)+$J$36-1000</f>
        <v>328000</v>
      </c>
      <c r="K46" s="75">
        <f t="shared" si="12"/>
        <v>598000</v>
      </c>
      <c r="L46" s="75">
        <f t="shared" si="3"/>
        <v>38400</v>
      </c>
      <c r="M46" s="75">
        <f>K46+L46-L47</f>
        <v>251440</v>
      </c>
      <c r="O46" s="75">
        <f t="shared" si="14"/>
        <v>3561000</v>
      </c>
      <c r="P46" s="75">
        <f t="shared" si="15"/>
        <v>3291000</v>
      </c>
      <c r="Q46" s="75">
        <f t="shared" si="16"/>
        <v>0</v>
      </c>
      <c r="R46" s="75">
        <f t="shared" si="5"/>
        <v>341256.52396480367</v>
      </c>
      <c r="S46" s="159">
        <f t="shared" si="6"/>
        <v>611256.52396480367</v>
      </c>
      <c r="T46" s="200">
        <f t="shared" si="24"/>
        <v>7410492.5609421618</v>
      </c>
      <c r="U46" s="200">
        <f t="shared" si="7"/>
        <v>7960219.2369773574</v>
      </c>
      <c r="V46" s="200">
        <f t="shared" si="8"/>
        <v>549726.67603519652</v>
      </c>
      <c r="W46" s="160">
        <f t="shared" si="17"/>
        <v>1.3707803947076864</v>
      </c>
      <c r="X46" s="161"/>
      <c r="Z46" s="154">
        <f t="shared" si="18"/>
        <v>598000</v>
      </c>
      <c r="AA46" s="161"/>
      <c r="AB46" s="154">
        <f t="shared" si="28"/>
        <v>598000</v>
      </c>
      <c r="AC46" s="154"/>
      <c r="AD46" s="187">
        <f t="shared" si="31"/>
        <v>2045</v>
      </c>
      <c r="AE46" s="188">
        <f t="shared" si="31"/>
        <v>29</v>
      </c>
      <c r="AF46" s="190">
        <f t="shared" si="20"/>
        <v>598000</v>
      </c>
      <c r="AG46" s="180">
        <f t="shared" si="9"/>
        <v>448106.60388506722</v>
      </c>
      <c r="AH46" s="180">
        <v>0</v>
      </c>
      <c r="AI46" s="181">
        <f t="shared" si="11"/>
        <v>0</v>
      </c>
    </row>
    <row r="47" spans="1:35" thickBot="1" x14ac:dyDescent="0.25">
      <c r="A47" s="162"/>
      <c r="B47" s="162"/>
      <c r="C47" s="162"/>
      <c r="D47" s="162"/>
      <c r="E47" s="162"/>
      <c r="F47" s="162"/>
      <c r="G47" s="162"/>
      <c r="H47" s="105"/>
      <c r="I47" s="163">
        <f>SUM(I17:I46)</f>
        <v>7449000</v>
      </c>
      <c r="J47" s="163">
        <f>SUM(J17:J46)</f>
        <v>3291000</v>
      </c>
      <c r="K47" s="163">
        <f>SUM(K17:K46)</f>
        <v>10740000</v>
      </c>
      <c r="L47" s="163">
        <f>SUM(L17:L46)</f>
        <v>384960</v>
      </c>
      <c r="M47" s="163">
        <f>SUM(M17:M46)</f>
        <v>10740000</v>
      </c>
      <c r="N47" s="84"/>
      <c r="O47" s="105"/>
      <c r="P47" s="84"/>
      <c r="Q47" s="84"/>
      <c r="R47" s="84"/>
      <c r="S47" s="75"/>
      <c r="T47" s="84"/>
      <c r="U47" s="84"/>
      <c r="V47" s="162"/>
      <c r="W47" s="75"/>
      <c r="X47" s="77"/>
      <c r="AD47" s="178"/>
      <c r="AE47" s="179"/>
      <c r="AF47" s="185">
        <f>SUM(AF17:AF46)</f>
        <v>10740000</v>
      </c>
      <c r="AG47" s="185">
        <f>SUM(AG17:AG46)</f>
        <v>9027288.682392776</v>
      </c>
      <c r="AH47" s="185">
        <f>SUM(AH17:AH46)</f>
        <v>10740000</v>
      </c>
      <c r="AI47" s="186">
        <f>SUM(AI17:AI46)</f>
        <v>9432788.7451265566</v>
      </c>
    </row>
    <row r="48" spans="1:35" ht="12.75" thickTop="1" thickBot="1" x14ac:dyDescent="0.25">
      <c r="A48" s="153"/>
      <c r="B48" s="150"/>
      <c r="C48" s="151"/>
      <c r="D48" s="152"/>
      <c r="E48" s="24"/>
      <c r="H48" s="164"/>
      <c r="O48" s="5"/>
      <c r="P48" s="75"/>
      <c r="Q48" s="5"/>
      <c r="U48" s="5"/>
      <c r="Z48" s="165">
        <f>SUM(Z17:Z46)</f>
        <v>10740000</v>
      </c>
      <c r="AA48" s="165">
        <f>SUM(AA17:AA45)</f>
        <v>10740000</v>
      </c>
      <c r="AB48" s="165">
        <f>SUM(AB20:AB46)</f>
        <v>-159000</v>
      </c>
      <c r="AC48" s="165"/>
      <c r="AD48" s="165"/>
    </row>
    <row r="49" spans="1:35" thickBot="1" x14ac:dyDescent="0.25">
      <c r="B49" s="150"/>
      <c r="C49" s="151"/>
      <c r="D49" s="152"/>
      <c r="E49" s="24"/>
      <c r="F49" s="81"/>
      <c r="I49" s="206"/>
      <c r="J49" s="167" t="s">
        <v>78</v>
      </c>
      <c r="K49" s="168">
        <f>K47</f>
        <v>10740000</v>
      </c>
      <c r="L49" s="75"/>
      <c r="M49" s="75"/>
      <c r="N49" s="81"/>
      <c r="O49" s="81"/>
      <c r="P49" s="81"/>
      <c r="Q49" s="5"/>
      <c r="U49" s="5"/>
      <c r="AE49" s="195"/>
      <c r="AF49" s="196" t="s">
        <v>71</v>
      </c>
      <c r="AG49" s="197">
        <f>AG47-AI47</f>
        <v>-405500.06273378059</v>
      </c>
      <c r="AH49" s="81"/>
      <c r="AI49" s="81"/>
    </row>
    <row r="50" spans="1:35" ht="11.25" x14ac:dyDescent="0.2">
      <c r="A50" s="153"/>
      <c r="B50" s="150"/>
      <c r="C50" s="151"/>
      <c r="D50" s="152"/>
      <c r="E50" s="24"/>
      <c r="I50" s="90"/>
      <c r="J50" s="90"/>
      <c r="K50" s="90"/>
      <c r="L50" s="90"/>
      <c r="M50" s="90"/>
      <c r="AH50" s="81"/>
      <c r="AI50" s="81"/>
    </row>
    <row r="51" spans="1:35" ht="11.25" x14ac:dyDescent="0.2">
      <c r="A51" s="153"/>
      <c r="B51" s="150"/>
      <c r="C51" s="151"/>
      <c r="D51" s="152"/>
      <c r="E51" s="24"/>
      <c r="AH51" s="81"/>
      <c r="AI51" s="81"/>
    </row>
    <row r="52" spans="1:35" ht="11.25" x14ac:dyDescent="0.2">
      <c r="A52" s="153"/>
      <c r="B52" s="150"/>
      <c r="C52" s="151"/>
      <c r="D52" s="152"/>
      <c r="E52" s="24"/>
      <c r="H52" s="169"/>
      <c r="AH52" s="81"/>
      <c r="AI52" s="81"/>
    </row>
    <row r="53" spans="1:35" ht="11.25" x14ac:dyDescent="0.2">
      <c r="A53" s="166" t="s">
        <v>87</v>
      </c>
      <c r="B53" s="38"/>
      <c r="E53" s="5">
        <f>E25</f>
        <v>800</v>
      </c>
      <c r="F53" s="198" t="s">
        <v>89</v>
      </c>
      <c r="H53" s="207">
        <f>ROUND(W9*12*0.1,0)</f>
        <v>64</v>
      </c>
      <c r="I53" s="5" t="s">
        <v>88</v>
      </c>
      <c r="AH53" s="81"/>
      <c r="AI53" s="81"/>
    </row>
    <row r="54" spans="1:35" ht="11.25" x14ac:dyDescent="0.2">
      <c r="A54" s="153"/>
      <c r="B54" s="150"/>
      <c r="C54" s="151"/>
      <c r="D54" s="152"/>
      <c r="E54" s="24"/>
      <c r="I54" s="94"/>
      <c r="J54" s="94"/>
      <c r="K54" s="94"/>
      <c r="L54" s="94"/>
      <c r="M54" s="94"/>
      <c r="AH54" s="81"/>
      <c r="AI54" s="81"/>
    </row>
    <row r="55" spans="1:35" ht="11.25" x14ac:dyDescent="0.2">
      <c r="A55" s="153"/>
      <c r="B55" s="150"/>
      <c r="C55" s="151"/>
      <c r="D55" s="152"/>
      <c r="E55" s="24"/>
      <c r="AH55" s="81"/>
      <c r="AI55" s="81"/>
    </row>
  </sheetData>
  <pageMargins left="0.7" right="0.7" top="0.75" bottom="0.75" header="0.3" footer="0.3"/>
  <pageSetup scale="59" orientation="landscape" r:id="rId1"/>
  <colBreaks count="1" manualBreakCount="1">
    <brk id="2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5"/>
  <sheetViews>
    <sheetView view="pageBreakPreview" topLeftCell="A5" zoomScaleNormal="60" zoomScaleSheetLayoutView="100" workbookViewId="0">
      <selection activeCell="S59" sqref="S59"/>
    </sheetView>
  </sheetViews>
  <sheetFormatPr defaultColWidth="12.7109375" defaultRowHeight="12" customHeight="1" x14ac:dyDescent="0.2"/>
  <cols>
    <col min="1" max="1" width="4.5703125" style="166" customWidth="1"/>
    <col min="2" max="2" width="3.85546875" style="170" hidden="1" customWidth="1"/>
    <col min="3" max="4" width="5.85546875" style="38" customWidth="1"/>
    <col min="5" max="5" width="7.42578125" style="38" customWidth="1"/>
    <col min="6" max="6" width="11.7109375" style="38" customWidth="1"/>
    <col min="7" max="7" width="9.7109375" style="38" customWidth="1"/>
    <col min="8" max="14" width="9.7109375" style="5" customWidth="1"/>
    <col min="15" max="16" width="9.7109375" style="38" customWidth="1"/>
    <col min="17" max="17" width="11.42578125" style="38" customWidth="1"/>
    <col min="18" max="19" width="9.7109375" style="5" customWidth="1"/>
    <col min="20" max="22" width="9.7109375" style="38" customWidth="1"/>
    <col min="23" max="23" width="9.7109375" style="5" customWidth="1"/>
    <col min="24" max="24" width="7.7109375" style="90" customWidth="1"/>
    <col min="25" max="30" width="12.7109375" style="81"/>
    <col min="31" max="35" width="12.7109375" style="100"/>
    <col min="36" max="16384" width="12.7109375" style="81"/>
  </cols>
  <sheetData>
    <row r="1" spans="1:37" ht="11.25" x14ac:dyDescent="0.2">
      <c r="A1" s="95" t="s">
        <v>74</v>
      </c>
      <c r="B1" s="96"/>
      <c r="C1" s="97"/>
      <c r="D1" s="97"/>
      <c r="E1" s="97"/>
      <c r="F1" s="97"/>
      <c r="G1" s="5"/>
      <c r="N1" s="97"/>
      <c r="O1" s="97"/>
      <c r="P1" s="97"/>
      <c r="Q1" s="97"/>
      <c r="R1" s="97"/>
      <c r="S1" s="97"/>
      <c r="T1" s="97"/>
      <c r="U1" s="97"/>
      <c r="V1" s="97"/>
      <c r="W1" s="98"/>
      <c r="X1" s="99"/>
    </row>
    <row r="2" spans="1:37" ht="11.25" x14ac:dyDescent="0.2">
      <c r="A2" s="95"/>
      <c r="B2" s="96"/>
      <c r="C2" s="97"/>
      <c r="D2" s="97"/>
      <c r="E2" s="97"/>
      <c r="F2" s="97"/>
      <c r="G2" s="5"/>
      <c r="N2" s="97"/>
      <c r="O2" s="97"/>
      <c r="P2" s="97"/>
      <c r="Q2" s="97"/>
      <c r="R2" s="97"/>
      <c r="S2" s="97"/>
      <c r="T2" s="97"/>
      <c r="U2" s="97"/>
      <c r="V2" s="97"/>
      <c r="W2" s="98"/>
      <c r="X2" s="99"/>
    </row>
    <row r="3" spans="1:37" ht="11.25" x14ac:dyDescent="0.2">
      <c r="A3" s="95" t="s">
        <v>0</v>
      </c>
      <c r="B3" s="96"/>
      <c r="C3" s="5"/>
      <c r="E3" s="5"/>
      <c r="G3" s="5"/>
      <c r="N3" s="98" t="s">
        <v>1</v>
      </c>
      <c r="O3" s="5"/>
      <c r="P3" s="5"/>
      <c r="Q3" s="5"/>
      <c r="T3" s="80" t="s">
        <v>2</v>
      </c>
      <c r="U3" s="75"/>
      <c r="V3" s="75"/>
      <c r="W3" s="101"/>
      <c r="X3" s="81"/>
    </row>
    <row r="4" spans="1:37" ht="11.25" x14ac:dyDescent="0.2">
      <c r="A4" s="102" t="s">
        <v>54</v>
      </c>
      <c r="B4" s="103"/>
      <c r="C4" s="101"/>
      <c r="D4" s="101"/>
      <c r="E4" s="101"/>
      <c r="F4" s="104">
        <v>11070000</v>
      </c>
      <c r="G4" s="5"/>
      <c r="N4" s="84" t="s">
        <v>55</v>
      </c>
      <c r="O4" s="84"/>
      <c r="P4" s="84"/>
      <c r="Q4" s="18">
        <f>F7</f>
        <v>10740000</v>
      </c>
      <c r="T4" s="84" t="s">
        <v>5</v>
      </c>
      <c r="U4" s="105"/>
      <c r="V4" s="105"/>
      <c r="W4" s="18">
        <v>0</v>
      </c>
      <c r="X4" s="81"/>
      <c r="Y4" s="106" t="s">
        <v>56</v>
      </c>
      <c r="AA4" s="22">
        <f>117161.34</f>
        <v>117161.34</v>
      </c>
    </row>
    <row r="5" spans="1:37" ht="11.25" x14ac:dyDescent="0.2">
      <c r="A5" s="102" t="s">
        <v>57</v>
      </c>
      <c r="B5" s="81"/>
      <c r="C5" s="81"/>
      <c r="D5" s="81"/>
      <c r="E5" s="81"/>
      <c r="F5" s="107">
        <f>F4-330000</f>
        <v>10740000</v>
      </c>
      <c r="N5" s="103" t="s">
        <v>7</v>
      </c>
      <c r="O5" s="101"/>
      <c r="P5" s="101"/>
      <c r="Q5" s="22">
        <f>AA7</f>
        <v>182771.60800000001</v>
      </c>
      <c r="T5" s="103" t="s">
        <v>8</v>
      </c>
      <c r="U5" s="101"/>
      <c r="V5" s="101"/>
      <c r="W5" s="24">
        <f>624+59</f>
        <v>683</v>
      </c>
      <c r="X5" s="81"/>
      <c r="Y5" s="106" t="s">
        <v>58</v>
      </c>
      <c r="Z5" s="22"/>
      <c r="AA5" s="22">
        <f>AA4*3*0.4</f>
        <v>140593.60800000001</v>
      </c>
      <c r="AB5" s="108"/>
      <c r="AC5" s="108"/>
      <c r="AD5" s="108"/>
    </row>
    <row r="6" spans="1:37" ht="11.25" x14ac:dyDescent="0.2">
      <c r="A6" s="102" t="s">
        <v>59</v>
      </c>
      <c r="B6" s="81"/>
      <c r="C6" s="81"/>
      <c r="D6" s="81"/>
      <c r="E6" s="81"/>
      <c r="F6" s="109">
        <v>0</v>
      </c>
      <c r="G6" s="5"/>
      <c r="N6" s="103" t="s">
        <v>10</v>
      </c>
      <c r="O6" s="101"/>
      <c r="P6" s="101"/>
      <c r="Q6" s="110">
        <v>1.7999999999999999E-2</v>
      </c>
      <c r="T6" s="208" t="s">
        <v>11</v>
      </c>
      <c r="U6" s="208"/>
      <c r="V6" s="208"/>
      <c r="W6" s="209">
        <v>2.2000000000000001E-3</v>
      </c>
      <c r="X6" s="202">
        <v>2.7E-2</v>
      </c>
      <c r="Y6" s="106" t="s">
        <v>60</v>
      </c>
      <c r="Z6" s="112"/>
      <c r="AA6" s="22">
        <v>42178</v>
      </c>
      <c r="AB6" s="108"/>
      <c r="AC6" s="108"/>
      <c r="AD6" s="108"/>
    </row>
    <row r="7" spans="1:37" ht="15" x14ac:dyDescent="0.25">
      <c r="A7" s="113" t="s">
        <v>61</v>
      </c>
      <c r="B7" s="114"/>
      <c r="C7" s="114"/>
      <c r="D7" s="114"/>
      <c r="E7" s="114"/>
      <c r="F7" s="115">
        <f>F5+F6</f>
        <v>10740000</v>
      </c>
      <c r="G7" s="5"/>
      <c r="N7" s="116" t="s">
        <v>13</v>
      </c>
      <c r="O7" s="116"/>
      <c r="P7" s="116"/>
      <c r="Q7" s="117">
        <v>0</v>
      </c>
      <c r="T7" s="103" t="s">
        <v>14</v>
      </c>
      <c r="U7" s="101"/>
      <c r="V7" s="101"/>
      <c r="W7" s="22">
        <v>7200</v>
      </c>
      <c r="X7" s="81"/>
      <c r="Y7" s="106" t="s">
        <v>62</v>
      </c>
      <c r="Z7" s="118"/>
      <c r="AA7" s="22">
        <f>AA5+AA6</f>
        <v>182771.60800000001</v>
      </c>
      <c r="AB7" s="119"/>
      <c r="AC7" s="119"/>
      <c r="AD7" s="119"/>
    </row>
    <row r="8" spans="1:37" ht="11.25" x14ac:dyDescent="0.2">
      <c r="A8" s="120" t="s">
        <v>12</v>
      </c>
      <c r="B8" s="103"/>
      <c r="C8" s="101"/>
      <c r="D8" s="101"/>
      <c r="E8" s="101"/>
      <c r="F8" s="121">
        <v>30</v>
      </c>
      <c r="G8" s="5"/>
      <c r="N8" s="38"/>
      <c r="T8" s="103" t="s">
        <v>63</v>
      </c>
      <c r="U8" s="81"/>
      <c r="V8" s="81"/>
      <c r="W8" s="22">
        <v>53249</v>
      </c>
      <c r="X8" s="81"/>
    </row>
    <row r="9" spans="1:37" ht="11.25" x14ac:dyDescent="0.2">
      <c r="A9" s="120" t="s">
        <v>15</v>
      </c>
      <c r="B9" s="103"/>
      <c r="C9" s="101"/>
      <c r="D9" s="101"/>
      <c r="E9" s="101"/>
      <c r="F9" s="33">
        <v>0</v>
      </c>
      <c r="H9" s="38"/>
      <c r="I9" s="38"/>
      <c r="J9" s="38"/>
      <c r="K9" s="38"/>
      <c r="L9" s="38"/>
      <c r="M9" s="38"/>
      <c r="R9" s="38"/>
      <c r="S9" s="38"/>
      <c r="T9" s="103" t="s">
        <v>76</v>
      </c>
      <c r="W9" s="117">
        <f>W8*0.012/12</f>
        <v>53.249000000000002</v>
      </c>
      <c r="X9" s="81"/>
    </row>
    <row r="10" spans="1:37" ht="11.25" x14ac:dyDescent="0.2">
      <c r="A10" s="123" t="s">
        <v>17</v>
      </c>
      <c r="B10" s="122"/>
      <c r="C10" s="116"/>
      <c r="D10" s="116"/>
      <c r="E10" s="116"/>
      <c r="F10" s="124">
        <f>-PMT(F9,F8,O17)</f>
        <v>358000</v>
      </c>
      <c r="H10" s="38" t="s">
        <v>79</v>
      </c>
      <c r="I10" s="38"/>
      <c r="J10" s="38"/>
      <c r="K10" s="128">
        <f>'2016 Refinance 1.2% MAGI'!N9</f>
        <v>0.2</v>
      </c>
      <c r="L10" s="128"/>
      <c r="M10" s="128"/>
      <c r="N10" s="38"/>
      <c r="O10" s="81"/>
      <c r="P10" s="125"/>
      <c r="Q10" s="126"/>
      <c r="R10" s="38"/>
      <c r="S10" s="38"/>
      <c r="T10" s="122" t="s">
        <v>75</v>
      </c>
      <c r="U10" s="116"/>
      <c r="V10" s="116"/>
      <c r="W10" s="117">
        <f>W8*0.014/12</f>
        <v>62.12383333333333</v>
      </c>
      <c r="X10" s="5"/>
    </row>
    <row r="11" spans="1:37" ht="11.25" x14ac:dyDescent="0.2">
      <c r="A11" s="127"/>
      <c r="B11" s="38"/>
      <c r="F11" s="5"/>
      <c r="H11" s="38" t="s">
        <v>80</v>
      </c>
      <c r="I11" s="38"/>
      <c r="J11" s="38"/>
      <c r="K11" s="128">
        <f>'2016 Refinance 1.2% MAGI'!N10</f>
        <v>0.8</v>
      </c>
      <c r="L11" s="128"/>
      <c r="M11" s="128"/>
      <c r="N11" s="38"/>
      <c r="O11" s="81"/>
      <c r="P11" s="128"/>
      <c r="Q11" s="126"/>
      <c r="R11" s="38"/>
      <c r="S11" s="38"/>
      <c r="W11" s="38"/>
      <c r="X11" s="5"/>
      <c r="Z11" s="161"/>
      <c r="AA11" s="161"/>
      <c r="AB11" s="161"/>
      <c r="AC11" s="161"/>
      <c r="AD11" s="161"/>
      <c r="AE11" s="210"/>
      <c r="AF11" s="210"/>
      <c r="AG11" s="210"/>
      <c r="AH11" s="210"/>
      <c r="AI11" s="210"/>
      <c r="AJ11" s="161"/>
      <c r="AK11" s="161"/>
    </row>
    <row r="12" spans="1:37" ht="11.25" x14ac:dyDescent="0.2">
      <c r="A12" s="127"/>
      <c r="B12" s="38"/>
      <c r="F12" s="5"/>
      <c r="H12" s="38" t="s">
        <v>81</v>
      </c>
      <c r="I12" s="38"/>
      <c r="J12" s="38"/>
      <c r="K12" s="128">
        <f>'2016 Refinance 1.2% MAGI'!N11</f>
        <v>0.88900000000000001</v>
      </c>
      <c r="L12" s="128"/>
      <c r="M12" s="128"/>
      <c r="N12" s="38"/>
      <c r="O12" s="81"/>
      <c r="P12" s="128"/>
      <c r="Q12" s="126"/>
      <c r="R12" s="38"/>
      <c r="S12" s="38"/>
      <c r="W12" s="38"/>
      <c r="X12" s="5"/>
      <c r="Z12" s="161"/>
      <c r="AA12" s="161"/>
      <c r="AB12" s="161"/>
      <c r="AC12" s="161"/>
      <c r="AD12" s="161"/>
      <c r="AE12" s="210"/>
      <c r="AF12" s="210"/>
      <c r="AG12" s="211"/>
      <c r="AH12" s="210"/>
      <c r="AI12" s="210"/>
      <c r="AJ12" s="161"/>
      <c r="AK12" s="161"/>
    </row>
    <row r="13" spans="1:37" ht="11.25" x14ac:dyDescent="0.2">
      <c r="A13" s="129" t="s">
        <v>18</v>
      </c>
      <c r="B13" s="130"/>
      <c r="C13" s="101"/>
      <c r="D13" s="75"/>
      <c r="E13" s="131"/>
      <c r="F13" s="5"/>
      <c r="G13" s="5"/>
      <c r="O13" s="5"/>
      <c r="P13" s="5"/>
      <c r="Q13" s="5"/>
      <c r="T13" s="5"/>
      <c r="U13" s="5"/>
      <c r="V13" s="5"/>
      <c r="Z13" s="161"/>
      <c r="AA13" s="161"/>
      <c r="AB13" s="161"/>
      <c r="AC13" s="161"/>
      <c r="AD13" s="161"/>
      <c r="AE13" s="210"/>
      <c r="AF13" s="210"/>
      <c r="AG13" s="210"/>
      <c r="AH13" s="210"/>
      <c r="AI13" s="210"/>
      <c r="AJ13" s="161"/>
      <c r="AK13" s="161"/>
    </row>
    <row r="14" spans="1:37" ht="11.25" x14ac:dyDescent="0.2">
      <c r="A14" s="133"/>
      <c r="B14" s="134"/>
      <c r="C14" s="135" t="s">
        <v>19</v>
      </c>
      <c r="D14" s="135" t="s">
        <v>20</v>
      </c>
      <c r="E14" s="135" t="s">
        <v>21</v>
      </c>
      <c r="F14" s="47"/>
      <c r="G14" s="47"/>
      <c r="H14" s="47"/>
      <c r="I14" s="47" t="s">
        <v>77</v>
      </c>
      <c r="J14" s="47" t="s">
        <v>23</v>
      </c>
      <c r="K14" s="47" t="s">
        <v>82</v>
      </c>
      <c r="L14" s="47" t="s">
        <v>83</v>
      </c>
      <c r="M14" s="47" t="s">
        <v>85</v>
      </c>
      <c r="N14" s="47"/>
      <c r="O14" s="47"/>
      <c r="P14" s="47"/>
      <c r="Q14" s="47" t="s">
        <v>24</v>
      </c>
      <c r="R14" s="47"/>
      <c r="S14" s="136"/>
      <c r="T14" s="47"/>
      <c r="U14" s="136"/>
      <c r="V14" s="47"/>
      <c r="W14" s="137" t="s">
        <v>25</v>
      </c>
      <c r="X14" s="81"/>
      <c r="Z14" s="161"/>
      <c r="AA14" s="161"/>
      <c r="AB14" s="161"/>
      <c r="AC14" s="161"/>
      <c r="AD14" s="161"/>
      <c r="AE14" s="210"/>
      <c r="AF14" s="210"/>
      <c r="AG14" s="210"/>
      <c r="AH14" s="210"/>
      <c r="AI14" s="210"/>
      <c r="AJ14" s="161"/>
      <c r="AK14" s="161"/>
    </row>
    <row r="15" spans="1:37" ht="11.25" x14ac:dyDescent="0.2">
      <c r="A15" s="138"/>
      <c r="B15" s="139"/>
      <c r="C15" s="140" t="s">
        <v>26</v>
      </c>
      <c r="D15" s="140" t="s">
        <v>19</v>
      </c>
      <c r="E15" s="140" t="s">
        <v>27</v>
      </c>
      <c r="F15" s="54" t="s">
        <v>28</v>
      </c>
      <c r="G15" s="54" t="s">
        <v>29</v>
      </c>
      <c r="H15" s="54" t="s">
        <v>21</v>
      </c>
      <c r="I15" s="54" t="s">
        <v>30</v>
      </c>
      <c r="J15" s="54" t="s">
        <v>30</v>
      </c>
      <c r="K15" s="54" t="s">
        <v>30</v>
      </c>
      <c r="L15" s="54" t="s">
        <v>43</v>
      </c>
      <c r="M15" s="54" t="s">
        <v>86</v>
      </c>
      <c r="N15" s="54" t="s">
        <v>30</v>
      </c>
      <c r="O15" s="54" t="s">
        <v>65</v>
      </c>
      <c r="P15" s="54" t="s">
        <v>31</v>
      </c>
      <c r="Q15" s="54" t="s">
        <v>33</v>
      </c>
      <c r="R15" s="54" t="s">
        <v>34</v>
      </c>
      <c r="S15" s="140" t="s">
        <v>21</v>
      </c>
      <c r="T15" s="54" t="s">
        <v>35</v>
      </c>
      <c r="U15" s="140" t="s">
        <v>36</v>
      </c>
      <c r="V15" s="54" t="s">
        <v>37</v>
      </c>
      <c r="W15" s="141" t="s">
        <v>38</v>
      </c>
      <c r="X15" s="81"/>
      <c r="Z15" s="161"/>
      <c r="AA15" s="161"/>
      <c r="AB15" s="161"/>
      <c r="AC15" s="161"/>
      <c r="AD15" s="161"/>
      <c r="AE15" s="210"/>
      <c r="AF15" s="210"/>
      <c r="AG15" s="210"/>
      <c r="AH15" s="210"/>
      <c r="AI15" s="210"/>
      <c r="AJ15" s="161"/>
      <c r="AK15" s="161"/>
    </row>
    <row r="16" spans="1:37" ht="11.25" x14ac:dyDescent="0.2">
      <c r="A16" s="142" t="s">
        <v>39</v>
      </c>
      <c r="B16" s="143"/>
      <c r="C16" s="144" t="s">
        <v>40</v>
      </c>
      <c r="D16" s="144" t="s">
        <v>41</v>
      </c>
      <c r="E16" s="144" t="s">
        <v>41</v>
      </c>
      <c r="F16" s="144" t="s">
        <v>42</v>
      </c>
      <c r="G16" s="144" t="s">
        <v>42</v>
      </c>
      <c r="H16" s="144" t="s">
        <v>42</v>
      </c>
      <c r="I16" s="60" t="s">
        <v>43</v>
      </c>
      <c r="J16" s="60" t="s">
        <v>43</v>
      </c>
      <c r="K16" s="60" t="s">
        <v>43</v>
      </c>
      <c r="L16" s="60" t="s">
        <v>84</v>
      </c>
      <c r="M16" s="60" t="s">
        <v>43</v>
      </c>
      <c r="N16" s="60" t="s">
        <v>44</v>
      </c>
      <c r="O16" s="60" t="s">
        <v>45</v>
      </c>
      <c r="P16" s="60" t="s">
        <v>45</v>
      </c>
      <c r="Q16" s="60" t="s">
        <v>38</v>
      </c>
      <c r="R16" s="60" t="s">
        <v>47</v>
      </c>
      <c r="S16" s="60" t="s">
        <v>47</v>
      </c>
      <c r="T16" s="60" t="s">
        <v>48</v>
      </c>
      <c r="U16" s="144" t="s">
        <v>49</v>
      </c>
      <c r="V16" s="60" t="s">
        <v>42</v>
      </c>
      <c r="W16" s="145" t="s">
        <v>50</v>
      </c>
      <c r="X16" s="81"/>
      <c r="Z16" s="161"/>
      <c r="AA16" s="161"/>
      <c r="AB16" s="161"/>
      <c r="AC16" s="161"/>
      <c r="AD16" s="210"/>
      <c r="AE16" s="210"/>
      <c r="AF16" s="210"/>
      <c r="AG16" s="210"/>
      <c r="AH16" s="210"/>
      <c r="AI16" s="210"/>
      <c r="AJ16" s="161"/>
      <c r="AK16" s="161"/>
    </row>
    <row r="17" spans="1:37" ht="11.25" x14ac:dyDescent="0.2">
      <c r="A17" s="133">
        <v>2016</v>
      </c>
      <c r="B17" s="146">
        <v>0</v>
      </c>
      <c r="C17" s="147">
        <v>0</v>
      </c>
      <c r="D17" s="148">
        <v>0</v>
      </c>
      <c r="E17" s="149">
        <f>W5</f>
        <v>683</v>
      </c>
      <c r="F17" s="75">
        <f>(+$W$9*12)*E17</f>
        <v>436428.80400000006</v>
      </c>
      <c r="G17" s="75">
        <f t="shared" ref="G17:G46" si="0">(+D17)*$W$7</f>
        <v>0</v>
      </c>
      <c r="H17" s="75">
        <f t="shared" ref="H17:H46" si="1">+F17+G17</f>
        <v>436428.80400000006</v>
      </c>
      <c r="I17" s="75">
        <f>'2016 Refinance 1.2% MAGI'!I17</f>
        <v>53000</v>
      </c>
      <c r="J17" s="75">
        <f>'2016 Refinance 1.2% MAGI'!J17</f>
        <v>0</v>
      </c>
      <c r="K17" s="75">
        <f>I17+J17</f>
        <v>53000</v>
      </c>
      <c r="L17" s="75">
        <f t="shared" ref="L17:L46" si="2">IF(E17-$E$53&gt;0, (E17-$E$53)*$H$53,0)</f>
        <v>0</v>
      </c>
      <c r="M17" s="75">
        <f>K17+L17</f>
        <v>53000</v>
      </c>
      <c r="N17" s="75">
        <f t="shared" ref="N17:N26" si="3">$F$10*1.5/10</f>
        <v>53700</v>
      </c>
      <c r="O17" s="84">
        <f>F7</f>
        <v>10740000</v>
      </c>
      <c r="P17" s="75">
        <f>IF(O17-I17&gt;0,O17-I17,0)</f>
        <v>10687000</v>
      </c>
      <c r="Q17" s="84">
        <f>Q7</f>
        <v>0</v>
      </c>
      <c r="R17" s="75">
        <f t="shared" ref="R17:R46" si="4">(Q$5*(1+Q$6)^B17)</f>
        <v>182771.60800000001</v>
      </c>
      <c r="S17" s="75">
        <f t="shared" ref="S17:S46" si="5">+I17+N17+R17+Q17</f>
        <v>289471.60800000001</v>
      </c>
      <c r="T17" s="199">
        <v>0</v>
      </c>
      <c r="U17" s="199">
        <f t="shared" ref="U17:U46" si="6">+(H17+T17)-S17</f>
        <v>146957.19600000005</v>
      </c>
      <c r="V17" s="199">
        <f t="shared" ref="V17:V45" si="7">+H17-(S17)</f>
        <v>146957.19600000005</v>
      </c>
      <c r="W17" s="77">
        <f t="shared" ref="W17:W46" si="8">(H17-R17)/(K17+Q17)</f>
        <v>4.7859848301886805</v>
      </c>
      <c r="X17" s="81"/>
      <c r="Z17" s="154"/>
      <c r="AA17" s="161"/>
      <c r="AB17" s="154"/>
      <c r="AC17" s="161"/>
      <c r="AD17" s="210"/>
      <c r="AE17" s="210"/>
      <c r="AF17" s="212"/>
      <c r="AG17" s="212"/>
      <c r="AH17" s="212"/>
      <c r="AI17" s="212"/>
      <c r="AJ17" s="161"/>
      <c r="AK17" s="161"/>
    </row>
    <row r="18" spans="1:37" ht="11.25" x14ac:dyDescent="0.2">
      <c r="A18" s="138">
        <f>A17+1</f>
        <v>2017</v>
      </c>
      <c r="B18" s="150">
        <v>7</v>
      </c>
      <c r="C18" s="151">
        <v>0</v>
      </c>
      <c r="D18" s="152" t="str">
        <f>FIXED(E17*C18,0)</f>
        <v>0</v>
      </c>
      <c r="E18" s="24">
        <f>+E17+D18</f>
        <v>683</v>
      </c>
      <c r="F18" s="75">
        <f>(+$W$9*12)*E18</f>
        <v>436428.80400000006</v>
      </c>
      <c r="G18" s="75">
        <f t="shared" si="0"/>
        <v>0</v>
      </c>
      <c r="H18" s="75">
        <f t="shared" si="1"/>
        <v>436428.80400000006</v>
      </c>
      <c r="I18" s="75">
        <f>'2016 Refinance 1.2% MAGI'!I18</f>
        <v>53000</v>
      </c>
      <c r="J18" s="75">
        <f>'2016 Refinance 1.2% MAGI'!J18</f>
        <v>0</v>
      </c>
      <c r="K18" s="75">
        <f t="shared" ref="K18:K46" si="9">I18+J18</f>
        <v>53000</v>
      </c>
      <c r="L18" s="75">
        <f t="shared" si="2"/>
        <v>0</v>
      </c>
      <c r="M18" s="75">
        <f t="shared" ref="M18:M45" si="10">K18+L18</f>
        <v>53000</v>
      </c>
      <c r="N18" s="75">
        <f t="shared" si="3"/>
        <v>53700</v>
      </c>
      <c r="O18" s="75">
        <f t="shared" ref="O18:O46" si="11">O17-I17</f>
        <v>10687000</v>
      </c>
      <c r="P18" s="75">
        <f t="shared" ref="P18:P46" si="12">IF(P17-I18&gt;0,P17-I18,0)</f>
        <v>10634000</v>
      </c>
      <c r="Q18" s="75">
        <f t="shared" ref="Q18:Q46" si="13">$Q$17</f>
        <v>0</v>
      </c>
      <c r="R18" s="75">
        <f t="shared" si="4"/>
        <v>207082.39479776245</v>
      </c>
      <c r="S18" s="75">
        <f t="shared" si="5"/>
        <v>313782.39479776245</v>
      </c>
      <c r="T18" s="200">
        <f>+U17</f>
        <v>146957.19600000005</v>
      </c>
      <c r="U18" s="200">
        <f t="shared" si="6"/>
        <v>269603.60520223767</v>
      </c>
      <c r="V18" s="200">
        <f t="shared" si="7"/>
        <v>122646.40920223761</v>
      </c>
      <c r="W18" s="77">
        <f t="shared" si="8"/>
        <v>4.3272907396648606</v>
      </c>
      <c r="X18" s="81"/>
      <c r="Z18" s="154"/>
      <c r="AA18" s="161"/>
      <c r="AB18" s="154"/>
      <c r="AC18" s="161"/>
      <c r="AD18" s="210"/>
      <c r="AE18" s="210"/>
      <c r="AF18" s="212"/>
      <c r="AG18" s="212"/>
      <c r="AH18" s="212"/>
      <c r="AI18" s="212"/>
      <c r="AJ18" s="161"/>
      <c r="AK18" s="161"/>
    </row>
    <row r="19" spans="1:37" ht="11.25" x14ac:dyDescent="0.2">
      <c r="A19" s="153">
        <f t="shared" ref="A19:A46" si="14">A18+1</f>
        <v>2018</v>
      </c>
      <c r="B19" s="150">
        <v>8</v>
      </c>
      <c r="C19" s="151">
        <v>0</v>
      </c>
      <c r="D19" s="152" t="str">
        <f t="shared" ref="D19:D46" si="15">FIXED(E18*C19,0)</f>
        <v>0</v>
      </c>
      <c r="E19" s="24">
        <f t="shared" ref="E19:E46" si="16">+E18+D19</f>
        <v>683</v>
      </c>
      <c r="F19" s="75">
        <f>(+$W$9*12)*E19</f>
        <v>436428.80400000006</v>
      </c>
      <c r="G19" s="75">
        <f t="shared" si="0"/>
        <v>0</v>
      </c>
      <c r="H19" s="75">
        <f t="shared" si="1"/>
        <v>436428.80400000006</v>
      </c>
      <c r="I19" s="75">
        <f>'2016 Refinance 1.2% MAGI'!I19</f>
        <v>53000</v>
      </c>
      <c r="J19" s="75">
        <f>'2016 Refinance 1.2% MAGI'!J19</f>
        <v>0</v>
      </c>
      <c r="K19" s="75">
        <f t="shared" si="9"/>
        <v>53000</v>
      </c>
      <c r="L19" s="75">
        <f t="shared" si="2"/>
        <v>0</v>
      </c>
      <c r="M19" s="75">
        <f t="shared" si="10"/>
        <v>53000</v>
      </c>
      <c r="N19" s="75">
        <f t="shared" si="3"/>
        <v>53700</v>
      </c>
      <c r="O19" s="75">
        <f t="shared" si="11"/>
        <v>10634000</v>
      </c>
      <c r="P19" s="75">
        <f t="shared" si="12"/>
        <v>10581000</v>
      </c>
      <c r="Q19" s="75">
        <f t="shared" si="13"/>
        <v>0</v>
      </c>
      <c r="R19" s="75">
        <f t="shared" si="4"/>
        <v>210809.87790412217</v>
      </c>
      <c r="S19" s="75">
        <f t="shared" si="5"/>
        <v>317509.87790412217</v>
      </c>
      <c r="T19" s="200">
        <f t="shared" ref="T19:T46" si="17">+U18</f>
        <v>269603.60520223767</v>
      </c>
      <c r="U19" s="200">
        <f t="shared" si="6"/>
        <v>388522.53129811556</v>
      </c>
      <c r="V19" s="200">
        <f t="shared" si="7"/>
        <v>118918.92609587789</v>
      </c>
      <c r="W19" s="77">
        <f t="shared" si="8"/>
        <v>4.256960869733545</v>
      </c>
      <c r="X19" s="81"/>
      <c r="Z19" s="154"/>
      <c r="AA19" s="161"/>
      <c r="AB19" s="154"/>
      <c r="AC19" s="161"/>
      <c r="AD19" s="210"/>
      <c r="AE19" s="210"/>
      <c r="AF19" s="212"/>
      <c r="AG19" s="212"/>
      <c r="AH19" s="212"/>
      <c r="AI19" s="212"/>
      <c r="AJ19" s="161"/>
      <c r="AK19" s="161"/>
    </row>
    <row r="20" spans="1:37" ht="11.25" x14ac:dyDescent="0.2">
      <c r="A20" s="153">
        <f t="shared" si="14"/>
        <v>2019</v>
      </c>
      <c r="B20" s="150">
        <v>9</v>
      </c>
      <c r="C20" s="151">
        <f t="shared" ref="C20:C46" si="18">$W$6</f>
        <v>2.2000000000000001E-3</v>
      </c>
      <c r="D20" s="152" t="str">
        <f t="shared" si="15"/>
        <v>2</v>
      </c>
      <c r="E20" s="24">
        <f t="shared" si="16"/>
        <v>685</v>
      </c>
      <c r="F20" s="80">
        <f>(+$W$10*12)*E20</f>
        <v>510657.91</v>
      </c>
      <c r="G20" s="75">
        <f t="shared" si="0"/>
        <v>14400</v>
      </c>
      <c r="H20" s="75">
        <f t="shared" si="1"/>
        <v>525057.90999999992</v>
      </c>
      <c r="I20" s="75">
        <f>'2016 Refinance 1.2% MAGI'!I20</f>
        <v>270000</v>
      </c>
      <c r="J20" s="75">
        <f>'2016 Refinance 1.2% MAGI'!J20</f>
        <v>0</v>
      </c>
      <c r="K20" s="75">
        <f t="shared" si="9"/>
        <v>270000</v>
      </c>
      <c r="L20" s="75">
        <f t="shared" si="2"/>
        <v>0</v>
      </c>
      <c r="M20" s="75">
        <f t="shared" si="10"/>
        <v>270000</v>
      </c>
      <c r="N20" s="75">
        <f t="shared" si="3"/>
        <v>53700</v>
      </c>
      <c r="O20" s="75">
        <f t="shared" si="11"/>
        <v>10581000</v>
      </c>
      <c r="P20" s="75">
        <f t="shared" si="12"/>
        <v>10311000</v>
      </c>
      <c r="Q20" s="75">
        <f t="shared" si="13"/>
        <v>0</v>
      </c>
      <c r="R20" s="75">
        <f t="shared" si="4"/>
        <v>214604.45570639634</v>
      </c>
      <c r="S20" s="75">
        <f t="shared" si="5"/>
        <v>538304.45570639637</v>
      </c>
      <c r="T20" s="200">
        <f t="shared" si="17"/>
        <v>388522.53129811556</v>
      </c>
      <c r="U20" s="200">
        <f t="shared" si="6"/>
        <v>375275.98559171916</v>
      </c>
      <c r="V20" s="200">
        <f t="shared" si="7"/>
        <v>-13246.545706396457</v>
      </c>
      <c r="W20" s="77">
        <f t="shared" si="8"/>
        <v>1.149827608494828</v>
      </c>
      <c r="X20" s="81"/>
      <c r="Z20" s="154"/>
      <c r="AA20" s="154"/>
      <c r="AB20" s="154"/>
      <c r="AC20" s="154"/>
      <c r="AD20" s="210"/>
      <c r="AE20" s="210"/>
      <c r="AF20" s="212"/>
      <c r="AG20" s="212"/>
      <c r="AH20" s="212"/>
      <c r="AI20" s="212"/>
      <c r="AJ20" s="161"/>
      <c r="AK20" s="161"/>
    </row>
    <row r="21" spans="1:37" ht="11.25" x14ac:dyDescent="0.2">
      <c r="A21" s="153">
        <f t="shared" si="14"/>
        <v>2020</v>
      </c>
      <c r="B21" s="150">
        <v>10</v>
      </c>
      <c r="C21" s="151">
        <f t="shared" si="18"/>
        <v>2.2000000000000001E-3</v>
      </c>
      <c r="D21" s="152" t="str">
        <f t="shared" si="15"/>
        <v>2</v>
      </c>
      <c r="E21" s="24">
        <f t="shared" si="16"/>
        <v>687</v>
      </c>
      <c r="F21" s="75">
        <f t="shared" ref="F21:F46" si="19">(+$W$10*12)*E21</f>
        <v>512148.88199999998</v>
      </c>
      <c r="G21" s="75">
        <f t="shared" si="0"/>
        <v>14400</v>
      </c>
      <c r="H21" s="75">
        <f t="shared" si="1"/>
        <v>526548.88199999998</v>
      </c>
      <c r="I21" s="75">
        <f>'2016 Refinance 1.2% MAGI'!I21</f>
        <v>270000</v>
      </c>
      <c r="J21" s="75">
        <f>'2016 Refinance 1.2% MAGI'!J21</f>
        <v>2000</v>
      </c>
      <c r="K21" s="75">
        <f t="shared" si="9"/>
        <v>272000</v>
      </c>
      <c r="L21" s="75">
        <f t="shared" si="2"/>
        <v>0</v>
      </c>
      <c r="M21" s="75">
        <f t="shared" si="10"/>
        <v>272000</v>
      </c>
      <c r="N21" s="75">
        <f t="shared" si="3"/>
        <v>53700</v>
      </c>
      <c r="O21" s="75">
        <f t="shared" si="11"/>
        <v>10311000</v>
      </c>
      <c r="P21" s="75">
        <f t="shared" si="12"/>
        <v>10041000</v>
      </c>
      <c r="Q21" s="75">
        <f t="shared" si="13"/>
        <v>0</v>
      </c>
      <c r="R21" s="75">
        <f t="shared" si="4"/>
        <v>218467.33590911151</v>
      </c>
      <c r="S21" s="75">
        <f t="shared" si="5"/>
        <v>542167.33590911154</v>
      </c>
      <c r="T21" s="200">
        <f t="shared" si="17"/>
        <v>375275.98559171916</v>
      </c>
      <c r="U21" s="200">
        <f t="shared" si="6"/>
        <v>359657.5316826076</v>
      </c>
      <c r="V21" s="200">
        <f t="shared" si="7"/>
        <v>-15618.453909111558</v>
      </c>
      <c r="W21" s="77">
        <f t="shared" si="8"/>
        <v>1.1326527429812074</v>
      </c>
      <c r="X21" s="81"/>
      <c r="Z21" s="154"/>
      <c r="AA21" s="154"/>
      <c r="AB21" s="154"/>
      <c r="AC21" s="154"/>
      <c r="AD21" s="210"/>
      <c r="AE21" s="210"/>
      <c r="AF21" s="212"/>
      <c r="AG21" s="212"/>
      <c r="AH21" s="212"/>
      <c r="AI21" s="212"/>
      <c r="AJ21" s="161"/>
      <c r="AK21" s="161"/>
    </row>
    <row r="22" spans="1:37" ht="11.25" x14ac:dyDescent="0.2">
      <c r="A22" s="153">
        <f t="shared" si="14"/>
        <v>2021</v>
      </c>
      <c r="B22" s="150">
        <v>11</v>
      </c>
      <c r="C22" s="151">
        <f t="shared" si="18"/>
        <v>2.2000000000000001E-3</v>
      </c>
      <c r="D22" s="152" t="str">
        <f t="shared" si="15"/>
        <v>2</v>
      </c>
      <c r="E22" s="24">
        <f t="shared" si="16"/>
        <v>689</v>
      </c>
      <c r="F22" s="75">
        <f t="shared" si="19"/>
        <v>513639.85399999999</v>
      </c>
      <c r="G22" s="75">
        <f t="shared" si="0"/>
        <v>14400</v>
      </c>
      <c r="H22" s="75">
        <f t="shared" si="1"/>
        <v>528039.85400000005</v>
      </c>
      <c r="I22" s="75">
        <f>'2016 Refinance 1.2% MAGI'!I22</f>
        <v>270000</v>
      </c>
      <c r="J22" s="75">
        <f>'2016 Refinance 1.2% MAGI'!J22</f>
        <v>5000</v>
      </c>
      <c r="K22" s="75">
        <f t="shared" si="9"/>
        <v>275000</v>
      </c>
      <c r="L22" s="75">
        <f t="shared" si="2"/>
        <v>0</v>
      </c>
      <c r="M22" s="75">
        <f t="shared" si="10"/>
        <v>275000</v>
      </c>
      <c r="N22" s="75">
        <f t="shared" si="3"/>
        <v>53700</v>
      </c>
      <c r="O22" s="75">
        <f t="shared" si="11"/>
        <v>10041000</v>
      </c>
      <c r="P22" s="75">
        <f t="shared" si="12"/>
        <v>9771000</v>
      </c>
      <c r="Q22" s="75">
        <f t="shared" si="13"/>
        <v>0</v>
      </c>
      <c r="R22" s="75">
        <f t="shared" si="4"/>
        <v>222399.7479554755</v>
      </c>
      <c r="S22" s="75">
        <f t="shared" si="5"/>
        <v>546099.74795547547</v>
      </c>
      <c r="T22" s="200">
        <f t="shared" si="17"/>
        <v>359657.5316826076</v>
      </c>
      <c r="U22" s="200">
        <f t="shared" si="6"/>
        <v>341597.63772713218</v>
      </c>
      <c r="V22" s="200">
        <f t="shared" si="7"/>
        <v>-18059.893955475418</v>
      </c>
      <c r="W22" s="77">
        <f t="shared" si="8"/>
        <v>1.1114185674346349</v>
      </c>
      <c r="X22" s="81"/>
      <c r="Z22" s="154"/>
      <c r="AA22" s="154"/>
      <c r="AB22" s="154"/>
      <c r="AC22" s="154"/>
      <c r="AD22" s="210"/>
      <c r="AE22" s="210"/>
      <c r="AF22" s="212"/>
      <c r="AG22" s="212"/>
      <c r="AH22" s="212"/>
      <c r="AI22" s="212"/>
      <c r="AJ22" s="161"/>
      <c r="AK22" s="161"/>
    </row>
    <row r="23" spans="1:37" s="82" customFormat="1" ht="11.25" x14ac:dyDescent="0.2">
      <c r="A23" s="153">
        <f t="shared" si="14"/>
        <v>2022</v>
      </c>
      <c r="B23" s="150">
        <v>12</v>
      </c>
      <c r="C23" s="151">
        <f t="shared" si="18"/>
        <v>2.2000000000000001E-3</v>
      </c>
      <c r="D23" s="152" t="str">
        <f t="shared" si="15"/>
        <v>2</v>
      </c>
      <c r="E23" s="24">
        <f t="shared" si="16"/>
        <v>691</v>
      </c>
      <c r="F23" s="75">
        <f t="shared" si="19"/>
        <v>515130.826</v>
      </c>
      <c r="G23" s="75">
        <f t="shared" si="0"/>
        <v>14400</v>
      </c>
      <c r="H23" s="75">
        <f t="shared" si="1"/>
        <v>529530.826</v>
      </c>
      <c r="I23" s="75">
        <f>'2016 Refinance 1.2% MAGI'!I23</f>
        <v>270000</v>
      </c>
      <c r="J23" s="75">
        <f>'2016 Refinance 1.2% MAGI'!J23</f>
        <v>7000</v>
      </c>
      <c r="K23" s="75">
        <f t="shared" si="9"/>
        <v>277000</v>
      </c>
      <c r="L23" s="75">
        <f t="shared" si="2"/>
        <v>0</v>
      </c>
      <c r="M23" s="75">
        <f t="shared" si="10"/>
        <v>277000</v>
      </c>
      <c r="N23" s="75">
        <f t="shared" si="3"/>
        <v>53700</v>
      </c>
      <c r="O23" s="75">
        <f t="shared" si="11"/>
        <v>9771000</v>
      </c>
      <c r="P23" s="75">
        <f t="shared" si="12"/>
        <v>9501000</v>
      </c>
      <c r="Q23" s="75">
        <f t="shared" si="13"/>
        <v>0</v>
      </c>
      <c r="R23" s="75">
        <f t="shared" si="4"/>
        <v>226402.94341867405</v>
      </c>
      <c r="S23" s="75">
        <f t="shared" si="5"/>
        <v>550102.94341867405</v>
      </c>
      <c r="T23" s="200">
        <f t="shared" si="17"/>
        <v>341597.63772713218</v>
      </c>
      <c r="U23" s="200">
        <f t="shared" si="6"/>
        <v>321025.52030845813</v>
      </c>
      <c r="V23" s="200">
        <f t="shared" si="7"/>
        <v>-20572.117418674054</v>
      </c>
      <c r="W23" s="77">
        <f t="shared" si="8"/>
        <v>1.0943244858531622</v>
      </c>
      <c r="Z23" s="154"/>
      <c r="AA23" s="154"/>
      <c r="AB23" s="154"/>
      <c r="AC23" s="154"/>
      <c r="AD23" s="210"/>
      <c r="AE23" s="210"/>
      <c r="AF23" s="212"/>
      <c r="AG23" s="212"/>
      <c r="AH23" s="212"/>
      <c r="AI23" s="212"/>
      <c r="AJ23" s="213"/>
      <c r="AK23" s="213"/>
    </row>
    <row r="24" spans="1:37" ht="11.25" x14ac:dyDescent="0.2">
      <c r="A24" s="153">
        <f t="shared" si="14"/>
        <v>2023</v>
      </c>
      <c r="B24" s="150">
        <v>13</v>
      </c>
      <c r="C24" s="151">
        <f t="shared" si="18"/>
        <v>2.2000000000000001E-3</v>
      </c>
      <c r="D24" s="152" t="str">
        <f t="shared" si="15"/>
        <v>2</v>
      </c>
      <c r="E24" s="24">
        <f t="shared" si="16"/>
        <v>693</v>
      </c>
      <c r="F24" s="75">
        <f t="shared" si="19"/>
        <v>516621.79800000001</v>
      </c>
      <c r="G24" s="75">
        <f t="shared" si="0"/>
        <v>14400</v>
      </c>
      <c r="H24" s="75">
        <f t="shared" si="1"/>
        <v>531021.79799999995</v>
      </c>
      <c r="I24" s="75">
        <f>'2016 Refinance 1.2% MAGI'!I24</f>
        <v>270000</v>
      </c>
      <c r="J24" s="75">
        <f>'2016 Refinance 1.2% MAGI'!J24</f>
        <v>10000</v>
      </c>
      <c r="K24" s="75">
        <f t="shared" si="9"/>
        <v>280000</v>
      </c>
      <c r="L24" s="75">
        <f t="shared" si="2"/>
        <v>0</v>
      </c>
      <c r="M24" s="75">
        <f t="shared" si="10"/>
        <v>280000</v>
      </c>
      <c r="N24" s="75">
        <f t="shared" si="3"/>
        <v>53700</v>
      </c>
      <c r="O24" s="75">
        <f t="shared" si="11"/>
        <v>9501000</v>
      </c>
      <c r="P24" s="75">
        <f t="shared" si="12"/>
        <v>9231000</v>
      </c>
      <c r="Q24" s="75">
        <f t="shared" si="13"/>
        <v>0</v>
      </c>
      <c r="R24" s="75">
        <f t="shared" si="4"/>
        <v>230478.1964002102</v>
      </c>
      <c r="S24" s="75">
        <f t="shared" si="5"/>
        <v>554178.19640021026</v>
      </c>
      <c r="T24" s="200">
        <f t="shared" si="17"/>
        <v>321025.52030845813</v>
      </c>
      <c r="U24" s="200">
        <f t="shared" si="6"/>
        <v>297869.12190824782</v>
      </c>
      <c r="V24" s="200">
        <f t="shared" si="7"/>
        <v>-23156.39840021031</v>
      </c>
      <c r="W24" s="77">
        <f t="shared" si="8"/>
        <v>1.0733700057135349</v>
      </c>
      <c r="X24" s="81"/>
      <c r="Z24" s="154"/>
      <c r="AA24" s="154"/>
      <c r="AB24" s="154"/>
      <c r="AC24" s="154"/>
      <c r="AD24" s="210"/>
      <c r="AE24" s="210"/>
      <c r="AF24" s="212"/>
      <c r="AG24" s="212"/>
      <c r="AH24" s="212"/>
      <c r="AI24" s="212"/>
      <c r="AJ24" s="161"/>
      <c r="AK24" s="161"/>
    </row>
    <row r="25" spans="1:37" ht="11.25" x14ac:dyDescent="0.2">
      <c r="A25" s="153">
        <f t="shared" si="14"/>
        <v>2024</v>
      </c>
      <c r="B25" s="150">
        <v>14</v>
      </c>
      <c r="C25" s="151">
        <f t="shared" si="18"/>
        <v>2.2000000000000001E-3</v>
      </c>
      <c r="D25" s="152" t="str">
        <f t="shared" si="15"/>
        <v>2</v>
      </c>
      <c r="E25" s="24">
        <f t="shared" si="16"/>
        <v>695</v>
      </c>
      <c r="F25" s="75">
        <f t="shared" si="19"/>
        <v>518112.77</v>
      </c>
      <c r="G25" s="75">
        <f t="shared" si="0"/>
        <v>14400</v>
      </c>
      <c r="H25" s="75">
        <f t="shared" si="1"/>
        <v>532512.77</v>
      </c>
      <c r="I25" s="75">
        <f>'2016 Refinance 1.2% MAGI'!I25</f>
        <v>270000</v>
      </c>
      <c r="J25" s="75">
        <f>'2016 Refinance 1.2% MAGI'!J25</f>
        <v>13000</v>
      </c>
      <c r="K25" s="75">
        <f t="shared" si="9"/>
        <v>283000</v>
      </c>
      <c r="L25" s="75">
        <f t="shared" si="2"/>
        <v>0</v>
      </c>
      <c r="M25" s="75">
        <f t="shared" si="10"/>
        <v>283000</v>
      </c>
      <c r="N25" s="75">
        <f t="shared" si="3"/>
        <v>53700</v>
      </c>
      <c r="O25" s="75">
        <f t="shared" si="11"/>
        <v>9231000</v>
      </c>
      <c r="P25" s="75">
        <f t="shared" si="12"/>
        <v>8961000</v>
      </c>
      <c r="Q25" s="75">
        <f t="shared" si="13"/>
        <v>0</v>
      </c>
      <c r="R25" s="75">
        <f t="shared" si="4"/>
        <v>234626.80393541401</v>
      </c>
      <c r="S25" s="75">
        <f t="shared" si="5"/>
        <v>558326.80393541395</v>
      </c>
      <c r="T25" s="200">
        <f t="shared" si="17"/>
        <v>297869.12190824782</v>
      </c>
      <c r="U25" s="200">
        <f t="shared" si="6"/>
        <v>272055.08797283389</v>
      </c>
      <c r="V25" s="200">
        <f t="shared" si="7"/>
        <v>-25814.033935413929</v>
      </c>
      <c r="W25" s="77">
        <f t="shared" si="8"/>
        <v>1.0526005868006574</v>
      </c>
      <c r="X25" s="81"/>
      <c r="Z25" s="154"/>
      <c r="AA25" s="154"/>
      <c r="AB25" s="154"/>
      <c r="AC25" s="154"/>
      <c r="AD25" s="210"/>
      <c r="AE25" s="210"/>
      <c r="AF25" s="212"/>
      <c r="AG25" s="212"/>
      <c r="AH25" s="212"/>
      <c r="AI25" s="212"/>
      <c r="AJ25" s="161"/>
      <c r="AK25" s="161"/>
    </row>
    <row r="26" spans="1:37" ht="11.25" x14ac:dyDescent="0.2">
      <c r="A26" s="142">
        <f t="shared" si="14"/>
        <v>2025</v>
      </c>
      <c r="B26" s="155">
        <v>15</v>
      </c>
      <c r="C26" s="156">
        <f t="shared" si="18"/>
        <v>2.2000000000000001E-3</v>
      </c>
      <c r="D26" s="157" t="str">
        <f t="shared" si="15"/>
        <v>2</v>
      </c>
      <c r="E26" s="158">
        <f t="shared" si="16"/>
        <v>697</v>
      </c>
      <c r="F26" s="159">
        <f t="shared" si="19"/>
        <v>519603.74199999997</v>
      </c>
      <c r="G26" s="159">
        <f t="shared" si="0"/>
        <v>14400</v>
      </c>
      <c r="H26" s="159">
        <f t="shared" si="1"/>
        <v>534003.74199999997</v>
      </c>
      <c r="I26" s="159">
        <f>'2016 Refinance 1.2% MAGI'!I26</f>
        <v>270000</v>
      </c>
      <c r="J26" s="159">
        <f>'2016 Refinance 1.2% MAGI'!J26</f>
        <v>15000</v>
      </c>
      <c r="K26" s="159">
        <f t="shared" si="9"/>
        <v>285000</v>
      </c>
      <c r="L26" s="159">
        <f t="shared" si="2"/>
        <v>0</v>
      </c>
      <c r="M26" s="159">
        <f t="shared" si="10"/>
        <v>285000</v>
      </c>
      <c r="N26" s="159">
        <f t="shared" si="3"/>
        <v>53700</v>
      </c>
      <c r="O26" s="159">
        <f t="shared" si="11"/>
        <v>8961000</v>
      </c>
      <c r="P26" s="159">
        <f t="shared" si="12"/>
        <v>8691000</v>
      </c>
      <c r="Q26" s="159">
        <f t="shared" si="13"/>
        <v>0</v>
      </c>
      <c r="R26" s="159">
        <f t="shared" si="4"/>
        <v>238850.08640625147</v>
      </c>
      <c r="S26" s="159">
        <f t="shared" si="5"/>
        <v>562550.08640625142</v>
      </c>
      <c r="T26" s="201">
        <f t="shared" si="17"/>
        <v>272055.08797283389</v>
      </c>
      <c r="U26" s="201">
        <f t="shared" si="6"/>
        <v>243508.74356658245</v>
      </c>
      <c r="V26" s="201">
        <f t="shared" si="7"/>
        <v>-28546.344406251446</v>
      </c>
      <c r="W26" s="160">
        <f t="shared" si="8"/>
        <v>1.0356268617324509</v>
      </c>
      <c r="X26" s="81"/>
      <c r="Z26" s="154"/>
      <c r="AA26" s="154"/>
      <c r="AB26" s="154"/>
      <c r="AC26" s="154"/>
      <c r="AD26" s="210"/>
      <c r="AE26" s="210"/>
      <c r="AF26" s="212"/>
      <c r="AG26" s="212"/>
      <c r="AH26" s="212"/>
      <c r="AI26" s="212"/>
      <c r="AJ26" s="161"/>
      <c r="AK26" s="161"/>
    </row>
    <row r="27" spans="1:37" ht="11.25" x14ac:dyDescent="0.2">
      <c r="A27" s="138">
        <f t="shared" si="14"/>
        <v>2026</v>
      </c>
      <c r="B27" s="150">
        <v>16</v>
      </c>
      <c r="C27" s="151">
        <f t="shared" si="18"/>
        <v>2.2000000000000001E-3</v>
      </c>
      <c r="D27" s="152" t="str">
        <f t="shared" si="15"/>
        <v>2</v>
      </c>
      <c r="E27" s="24">
        <f t="shared" si="16"/>
        <v>699</v>
      </c>
      <c r="F27" s="75">
        <f t="shared" si="19"/>
        <v>521094.71399999998</v>
      </c>
      <c r="G27" s="75">
        <f t="shared" si="0"/>
        <v>14400</v>
      </c>
      <c r="H27" s="75">
        <f t="shared" si="1"/>
        <v>535494.71399999992</v>
      </c>
      <c r="I27" s="75">
        <f>'2016 Refinance 1.2% MAGI'!I27</f>
        <v>270000</v>
      </c>
      <c r="J27" s="75">
        <f>'2016 Refinance 1.2% MAGI'!J27</f>
        <v>26000</v>
      </c>
      <c r="K27" s="75">
        <f t="shared" si="9"/>
        <v>296000</v>
      </c>
      <c r="L27" s="75">
        <f t="shared" si="2"/>
        <v>0</v>
      </c>
      <c r="M27" s="75">
        <f t="shared" si="10"/>
        <v>296000</v>
      </c>
      <c r="N27" s="75"/>
      <c r="O27" s="75">
        <f t="shared" si="11"/>
        <v>8691000</v>
      </c>
      <c r="P27" s="75">
        <f t="shared" si="12"/>
        <v>8421000</v>
      </c>
      <c r="Q27" s="75">
        <f t="shared" si="13"/>
        <v>0</v>
      </c>
      <c r="R27" s="75">
        <f t="shared" si="4"/>
        <v>243149.38796156397</v>
      </c>
      <c r="S27" s="75">
        <f t="shared" si="5"/>
        <v>513149.387961564</v>
      </c>
      <c r="T27" s="200">
        <f t="shared" si="17"/>
        <v>243508.74356658245</v>
      </c>
      <c r="U27" s="200">
        <f t="shared" si="6"/>
        <v>265854.06960501836</v>
      </c>
      <c r="V27" s="200">
        <f t="shared" si="7"/>
        <v>22345.326038435916</v>
      </c>
      <c r="W27" s="77">
        <f t="shared" si="8"/>
        <v>0.98765312850822939</v>
      </c>
      <c r="X27" s="81"/>
      <c r="Z27" s="154"/>
      <c r="AA27" s="154"/>
      <c r="AB27" s="154"/>
      <c r="AC27" s="154"/>
      <c r="AD27" s="210"/>
      <c r="AE27" s="210"/>
      <c r="AF27" s="212"/>
      <c r="AG27" s="212"/>
      <c r="AH27" s="212"/>
      <c r="AI27" s="212"/>
      <c r="AJ27" s="161"/>
      <c r="AK27" s="161"/>
    </row>
    <row r="28" spans="1:37" ht="11.25" x14ac:dyDescent="0.2">
      <c r="A28" s="138">
        <f t="shared" si="14"/>
        <v>2027</v>
      </c>
      <c r="B28" s="150">
        <v>17</v>
      </c>
      <c r="C28" s="151">
        <f t="shared" si="18"/>
        <v>2.2000000000000001E-3</v>
      </c>
      <c r="D28" s="152" t="str">
        <f t="shared" si="15"/>
        <v>2</v>
      </c>
      <c r="E28" s="24">
        <f t="shared" si="16"/>
        <v>701</v>
      </c>
      <c r="F28" s="75">
        <f t="shared" si="19"/>
        <v>522585.68599999999</v>
      </c>
      <c r="G28" s="75">
        <f t="shared" si="0"/>
        <v>14400</v>
      </c>
      <c r="H28" s="75">
        <f t="shared" si="1"/>
        <v>536985.68599999999</v>
      </c>
      <c r="I28" s="75">
        <f>'2016 Refinance 1.2% MAGI'!I28</f>
        <v>270000</v>
      </c>
      <c r="J28" s="75">
        <f>'2016 Refinance 1.2% MAGI'!J28</f>
        <v>38000</v>
      </c>
      <c r="K28" s="75">
        <f t="shared" si="9"/>
        <v>308000</v>
      </c>
      <c r="L28" s="75">
        <f t="shared" si="2"/>
        <v>0</v>
      </c>
      <c r="M28" s="75">
        <f t="shared" si="10"/>
        <v>308000</v>
      </c>
      <c r="N28" s="75"/>
      <c r="O28" s="75">
        <f t="shared" si="11"/>
        <v>8421000</v>
      </c>
      <c r="P28" s="75">
        <f t="shared" si="12"/>
        <v>8151000</v>
      </c>
      <c r="Q28" s="75">
        <f t="shared" si="13"/>
        <v>0</v>
      </c>
      <c r="R28" s="75">
        <f t="shared" si="4"/>
        <v>247526.07694487215</v>
      </c>
      <c r="S28" s="75">
        <f t="shared" si="5"/>
        <v>517526.07694487215</v>
      </c>
      <c r="T28" s="200">
        <f t="shared" si="17"/>
        <v>265854.06960501836</v>
      </c>
      <c r="U28" s="200">
        <f t="shared" si="6"/>
        <v>285313.67866014619</v>
      </c>
      <c r="V28" s="200">
        <f t="shared" si="7"/>
        <v>19459.609055127832</v>
      </c>
      <c r="W28" s="77">
        <f t="shared" si="8"/>
        <v>0.93980392550366176</v>
      </c>
      <c r="X28" s="81"/>
      <c r="Z28" s="154"/>
      <c r="AA28" s="154"/>
      <c r="AB28" s="154"/>
      <c r="AC28" s="154"/>
      <c r="AD28" s="210"/>
      <c r="AE28" s="210"/>
      <c r="AF28" s="212"/>
      <c r="AG28" s="212"/>
      <c r="AH28" s="212"/>
      <c r="AI28" s="212"/>
      <c r="AJ28" s="161"/>
      <c r="AK28" s="161"/>
    </row>
    <row r="29" spans="1:37" ht="11.25" x14ac:dyDescent="0.2">
      <c r="A29" s="138">
        <f t="shared" si="14"/>
        <v>2028</v>
      </c>
      <c r="B29" s="150">
        <v>18</v>
      </c>
      <c r="C29" s="151">
        <f t="shared" si="18"/>
        <v>2.2000000000000001E-3</v>
      </c>
      <c r="D29" s="152" t="str">
        <f t="shared" si="15"/>
        <v>2</v>
      </c>
      <c r="E29" s="24">
        <f t="shared" si="16"/>
        <v>703</v>
      </c>
      <c r="F29" s="75">
        <f t="shared" si="19"/>
        <v>524076.658</v>
      </c>
      <c r="G29" s="75">
        <f t="shared" si="0"/>
        <v>14400</v>
      </c>
      <c r="H29" s="75">
        <f t="shared" si="1"/>
        <v>538476.65800000005</v>
      </c>
      <c r="I29" s="75">
        <f>'2016 Refinance 1.2% MAGI'!I29</f>
        <v>270000</v>
      </c>
      <c r="J29" s="75">
        <f>'2016 Refinance 1.2% MAGI'!J29</f>
        <v>50000</v>
      </c>
      <c r="K29" s="75">
        <f t="shared" si="9"/>
        <v>320000</v>
      </c>
      <c r="L29" s="75">
        <f t="shared" si="2"/>
        <v>0</v>
      </c>
      <c r="M29" s="75">
        <f t="shared" si="10"/>
        <v>320000</v>
      </c>
      <c r="N29" s="75"/>
      <c r="O29" s="75">
        <f t="shared" si="11"/>
        <v>8151000</v>
      </c>
      <c r="P29" s="75">
        <f t="shared" si="12"/>
        <v>7881000</v>
      </c>
      <c r="Q29" s="75">
        <f t="shared" si="13"/>
        <v>0</v>
      </c>
      <c r="R29" s="75">
        <f t="shared" si="4"/>
        <v>251981.54632987984</v>
      </c>
      <c r="S29" s="75">
        <f t="shared" si="5"/>
        <v>521981.54632987984</v>
      </c>
      <c r="T29" s="200">
        <f t="shared" si="17"/>
        <v>285313.67866014619</v>
      </c>
      <c r="U29" s="200">
        <f t="shared" si="6"/>
        <v>301808.79033026641</v>
      </c>
      <c r="V29" s="200">
        <f t="shared" si="7"/>
        <v>16495.111670120212</v>
      </c>
      <c r="W29" s="77">
        <f t="shared" si="8"/>
        <v>0.8952972239691257</v>
      </c>
      <c r="X29" s="81"/>
      <c r="Z29" s="154"/>
      <c r="AA29" s="154"/>
      <c r="AB29" s="154"/>
      <c r="AC29" s="154"/>
      <c r="AD29" s="210"/>
      <c r="AE29" s="210"/>
      <c r="AF29" s="212"/>
      <c r="AG29" s="212"/>
      <c r="AH29" s="212"/>
      <c r="AI29" s="212"/>
      <c r="AJ29" s="161"/>
      <c r="AK29" s="161"/>
    </row>
    <row r="30" spans="1:37" ht="11.25" x14ac:dyDescent="0.2">
      <c r="A30" s="138">
        <f t="shared" si="14"/>
        <v>2029</v>
      </c>
      <c r="B30" s="150">
        <v>19</v>
      </c>
      <c r="C30" s="151">
        <f t="shared" si="18"/>
        <v>2.2000000000000001E-3</v>
      </c>
      <c r="D30" s="152" t="str">
        <f t="shared" si="15"/>
        <v>2</v>
      </c>
      <c r="E30" s="24">
        <f t="shared" si="16"/>
        <v>705</v>
      </c>
      <c r="F30" s="75">
        <f t="shared" si="19"/>
        <v>525567.63</v>
      </c>
      <c r="G30" s="75">
        <f t="shared" si="0"/>
        <v>14400</v>
      </c>
      <c r="H30" s="75">
        <f t="shared" si="1"/>
        <v>539967.63</v>
      </c>
      <c r="I30" s="75">
        <f>'2016 Refinance 1.2% MAGI'!I30</f>
        <v>270000</v>
      </c>
      <c r="J30" s="75">
        <f>'2016 Refinance 1.2% MAGI'!J30</f>
        <v>62000</v>
      </c>
      <c r="K30" s="75">
        <f t="shared" si="9"/>
        <v>332000</v>
      </c>
      <c r="L30" s="75">
        <f t="shared" si="2"/>
        <v>0</v>
      </c>
      <c r="M30" s="75">
        <f t="shared" si="10"/>
        <v>332000</v>
      </c>
      <c r="N30" s="75"/>
      <c r="O30" s="75">
        <f t="shared" si="11"/>
        <v>7881000</v>
      </c>
      <c r="P30" s="75">
        <f t="shared" si="12"/>
        <v>7611000</v>
      </c>
      <c r="Q30" s="75">
        <f t="shared" si="13"/>
        <v>0</v>
      </c>
      <c r="R30" s="75">
        <f t="shared" si="4"/>
        <v>256517.21416381767</v>
      </c>
      <c r="S30" s="75">
        <f t="shared" si="5"/>
        <v>526517.2141638177</v>
      </c>
      <c r="T30" s="200">
        <f t="shared" si="17"/>
        <v>301808.79033026641</v>
      </c>
      <c r="U30" s="200">
        <f t="shared" si="6"/>
        <v>315259.20616644877</v>
      </c>
      <c r="V30" s="200">
        <f t="shared" si="7"/>
        <v>13450.415836182307</v>
      </c>
      <c r="W30" s="77">
        <f t="shared" si="8"/>
        <v>0.85376631275958526</v>
      </c>
      <c r="X30" s="81"/>
      <c r="Z30" s="154"/>
      <c r="AA30" s="154"/>
      <c r="AB30" s="154"/>
      <c r="AC30" s="154"/>
      <c r="AD30" s="210"/>
      <c r="AE30" s="210"/>
      <c r="AF30" s="212"/>
      <c r="AG30" s="212"/>
      <c r="AH30" s="212"/>
      <c r="AI30" s="212"/>
      <c r="AJ30" s="161"/>
      <c r="AK30" s="161"/>
    </row>
    <row r="31" spans="1:37" ht="11.25" x14ac:dyDescent="0.2">
      <c r="A31" s="138">
        <f t="shared" si="14"/>
        <v>2030</v>
      </c>
      <c r="B31" s="150">
        <v>20</v>
      </c>
      <c r="C31" s="151">
        <f t="shared" si="18"/>
        <v>2.2000000000000001E-3</v>
      </c>
      <c r="D31" s="152" t="str">
        <f t="shared" si="15"/>
        <v>2</v>
      </c>
      <c r="E31" s="24">
        <f t="shared" si="16"/>
        <v>707</v>
      </c>
      <c r="F31" s="75">
        <f t="shared" si="19"/>
        <v>527058.60199999996</v>
      </c>
      <c r="G31" s="75">
        <f t="shared" si="0"/>
        <v>14400</v>
      </c>
      <c r="H31" s="75">
        <f t="shared" si="1"/>
        <v>541458.60199999996</v>
      </c>
      <c r="I31" s="75">
        <f>'2016 Refinance 1.2% MAGI'!I31</f>
        <v>270000</v>
      </c>
      <c r="J31" s="75">
        <f>'2016 Refinance 1.2% MAGI'!J31</f>
        <v>75000</v>
      </c>
      <c r="K31" s="75">
        <f t="shared" si="9"/>
        <v>345000</v>
      </c>
      <c r="L31" s="75">
        <f t="shared" si="2"/>
        <v>0</v>
      </c>
      <c r="M31" s="75">
        <f t="shared" si="10"/>
        <v>345000</v>
      </c>
      <c r="N31" s="75"/>
      <c r="O31" s="75">
        <f t="shared" si="11"/>
        <v>7611000</v>
      </c>
      <c r="P31" s="75">
        <f t="shared" si="12"/>
        <v>7341000</v>
      </c>
      <c r="Q31" s="75">
        <f t="shared" si="13"/>
        <v>0</v>
      </c>
      <c r="R31" s="75">
        <f t="shared" si="4"/>
        <v>261134.52401876642</v>
      </c>
      <c r="S31" s="75">
        <f t="shared" si="5"/>
        <v>531134.52401876636</v>
      </c>
      <c r="T31" s="200">
        <f t="shared" si="17"/>
        <v>315259.20616644877</v>
      </c>
      <c r="U31" s="200">
        <f t="shared" si="6"/>
        <v>325583.28414768237</v>
      </c>
      <c r="V31" s="200">
        <f t="shared" si="7"/>
        <v>10324.077981233597</v>
      </c>
      <c r="W31" s="77">
        <f t="shared" si="8"/>
        <v>0.81253355936589433</v>
      </c>
      <c r="X31" s="81"/>
      <c r="Z31" s="154"/>
      <c r="AA31" s="154"/>
      <c r="AB31" s="154"/>
      <c r="AC31" s="154"/>
      <c r="AD31" s="210"/>
      <c r="AE31" s="210"/>
      <c r="AF31" s="212"/>
      <c r="AG31" s="212"/>
      <c r="AH31" s="212"/>
      <c r="AI31" s="212"/>
      <c r="AJ31" s="161"/>
      <c r="AK31" s="161"/>
    </row>
    <row r="32" spans="1:37" ht="11.25" x14ac:dyDescent="0.2">
      <c r="A32" s="138">
        <f t="shared" si="14"/>
        <v>2031</v>
      </c>
      <c r="B32" s="150">
        <v>21</v>
      </c>
      <c r="C32" s="151">
        <f t="shared" si="18"/>
        <v>2.2000000000000001E-3</v>
      </c>
      <c r="D32" s="152" t="str">
        <f t="shared" si="15"/>
        <v>2</v>
      </c>
      <c r="E32" s="24">
        <f t="shared" si="16"/>
        <v>709</v>
      </c>
      <c r="F32" s="75">
        <f t="shared" si="19"/>
        <v>528549.57400000002</v>
      </c>
      <c r="G32" s="75">
        <f t="shared" si="0"/>
        <v>14400</v>
      </c>
      <c r="H32" s="75">
        <f t="shared" si="1"/>
        <v>542949.57400000002</v>
      </c>
      <c r="I32" s="75">
        <f>'2016 Refinance 1.2% MAGI'!I32</f>
        <v>270000</v>
      </c>
      <c r="J32" s="75">
        <f>'2016 Refinance 1.2% MAGI'!J32</f>
        <v>88000</v>
      </c>
      <c r="K32" s="75">
        <f t="shared" si="9"/>
        <v>358000</v>
      </c>
      <c r="L32" s="75">
        <f t="shared" si="2"/>
        <v>0</v>
      </c>
      <c r="M32" s="75">
        <f t="shared" si="10"/>
        <v>358000</v>
      </c>
      <c r="N32" s="75"/>
      <c r="O32" s="75">
        <f t="shared" si="11"/>
        <v>7341000</v>
      </c>
      <c r="P32" s="75">
        <f t="shared" si="12"/>
        <v>7071000</v>
      </c>
      <c r="Q32" s="75">
        <f t="shared" si="13"/>
        <v>0</v>
      </c>
      <c r="R32" s="75">
        <f t="shared" si="4"/>
        <v>265834.9454511042</v>
      </c>
      <c r="S32" s="75">
        <f t="shared" si="5"/>
        <v>535834.9454511042</v>
      </c>
      <c r="T32" s="200">
        <f t="shared" si="17"/>
        <v>325583.28414768237</v>
      </c>
      <c r="U32" s="200">
        <f t="shared" si="6"/>
        <v>332697.91269657819</v>
      </c>
      <c r="V32" s="200">
        <f t="shared" si="7"/>
        <v>7114.6285488958238</v>
      </c>
      <c r="W32" s="77">
        <f t="shared" si="8"/>
        <v>0.77406320823713914</v>
      </c>
      <c r="X32" s="81"/>
      <c r="Z32" s="154"/>
      <c r="AA32" s="154"/>
      <c r="AB32" s="154"/>
      <c r="AC32" s="154"/>
      <c r="AD32" s="210"/>
      <c r="AE32" s="210"/>
      <c r="AF32" s="212"/>
      <c r="AG32" s="212"/>
      <c r="AH32" s="212"/>
      <c r="AI32" s="212"/>
      <c r="AJ32" s="161"/>
      <c r="AK32" s="161"/>
    </row>
    <row r="33" spans="1:37" s="82" customFormat="1" ht="11.25" x14ac:dyDescent="0.2">
      <c r="A33" s="138">
        <f t="shared" si="14"/>
        <v>2032</v>
      </c>
      <c r="B33" s="150">
        <v>22</v>
      </c>
      <c r="C33" s="151">
        <f t="shared" si="18"/>
        <v>2.2000000000000001E-3</v>
      </c>
      <c r="D33" s="152" t="str">
        <f t="shared" si="15"/>
        <v>2</v>
      </c>
      <c r="E33" s="24">
        <f t="shared" si="16"/>
        <v>711</v>
      </c>
      <c r="F33" s="75">
        <f t="shared" si="19"/>
        <v>530040.54599999997</v>
      </c>
      <c r="G33" s="75">
        <f t="shared" si="0"/>
        <v>14400</v>
      </c>
      <c r="H33" s="75">
        <f t="shared" si="1"/>
        <v>544440.54599999997</v>
      </c>
      <c r="I33" s="75">
        <f>'2016 Refinance 1.2% MAGI'!I33</f>
        <v>270000</v>
      </c>
      <c r="J33" s="75">
        <f>'2016 Refinance 1.2% MAGI'!J33</f>
        <v>101000</v>
      </c>
      <c r="K33" s="75">
        <f t="shared" si="9"/>
        <v>371000</v>
      </c>
      <c r="L33" s="75">
        <f t="shared" si="2"/>
        <v>0</v>
      </c>
      <c r="M33" s="75">
        <f t="shared" si="10"/>
        <v>371000</v>
      </c>
      <c r="N33" s="75"/>
      <c r="O33" s="75">
        <f t="shared" si="11"/>
        <v>7071000</v>
      </c>
      <c r="P33" s="75">
        <f t="shared" si="12"/>
        <v>6801000</v>
      </c>
      <c r="Q33" s="75">
        <f t="shared" si="13"/>
        <v>0</v>
      </c>
      <c r="R33" s="75">
        <f t="shared" si="4"/>
        <v>270619.97446922405</v>
      </c>
      <c r="S33" s="75">
        <f t="shared" si="5"/>
        <v>540619.97446922399</v>
      </c>
      <c r="T33" s="200">
        <f t="shared" si="17"/>
        <v>332697.91269657819</v>
      </c>
      <c r="U33" s="200">
        <f t="shared" si="6"/>
        <v>336518.48422735417</v>
      </c>
      <c r="V33" s="200">
        <f t="shared" si="7"/>
        <v>3820.571530775982</v>
      </c>
      <c r="W33" s="77">
        <f t="shared" si="8"/>
        <v>0.73806083970559544</v>
      </c>
      <c r="Z33" s="154"/>
      <c r="AA33" s="154"/>
      <c r="AB33" s="154"/>
      <c r="AC33" s="154"/>
      <c r="AD33" s="210"/>
      <c r="AE33" s="210"/>
      <c r="AF33" s="212"/>
      <c r="AG33" s="212"/>
      <c r="AH33" s="212"/>
      <c r="AI33" s="212"/>
      <c r="AJ33" s="213"/>
      <c r="AK33" s="213"/>
    </row>
    <row r="34" spans="1:37" ht="11.25" x14ac:dyDescent="0.2">
      <c r="A34" s="138">
        <f t="shared" si="14"/>
        <v>2033</v>
      </c>
      <c r="B34" s="150">
        <v>23</v>
      </c>
      <c r="C34" s="151">
        <f t="shared" si="18"/>
        <v>2.2000000000000001E-3</v>
      </c>
      <c r="D34" s="152" t="str">
        <f t="shared" si="15"/>
        <v>2</v>
      </c>
      <c r="E34" s="24">
        <f t="shared" si="16"/>
        <v>713</v>
      </c>
      <c r="F34" s="75">
        <f t="shared" si="19"/>
        <v>531531.51800000004</v>
      </c>
      <c r="G34" s="75">
        <f t="shared" si="0"/>
        <v>14400</v>
      </c>
      <c r="H34" s="75">
        <f t="shared" si="1"/>
        <v>545931.51800000004</v>
      </c>
      <c r="I34" s="75">
        <f>'2016 Refinance 1.2% MAGI'!I34</f>
        <v>270000</v>
      </c>
      <c r="J34" s="75">
        <f>'2016 Refinance 1.2% MAGI'!J34</f>
        <v>115000</v>
      </c>
      <c r="K34" s="75">
        <f t="shared" si="9"/>
        <v>385000</v>
      </c>
      <c r="L34" s="75">
        <f t="shared" si="2"/>
        <v>0</v>
      </c>
      <c r="M34" s="75">
        <f t="shared" si="10"/>
        <v>385000</v>
      </c>
      <c r="N34" s="75"/>
      <c r="O34" s="75">
        <f t="shared" si="11"/>
        <v>6801000</v>
      </c>
      <c r="P34" s="75">
        <f t="shared" si="12"/>
        <v>6531000</v>
      </c>
      <c r="Q34" s="75">
        <f t="shared" si="13"/>
        <v>0</v>
      </c>
      <c r="R34" s="75">
        <f t="shared" si="4"/>
        <v>275491.13400967018</v>
      </c>
      <c r="S34" s="75">
        <f t="shared" si="5"/>
        <v>545491.13400967023</v>
      </c>
      <c r="T34" s="200">
        <f t="shared" si="17"/>
        <v>336518.48422735417</v>
      </c>
      <c r="U34" s="200">
        <f t="shared" si="6"/>
        <v>336958.86821768398</v>
      </c>
      <c r="V34" s="200">
        <f t="shared" si="7"/>
        <v>440.38399032980669</v>
      </c>
      <c r="W34" s="77">
        <f t="shared" si="8"/>
        <v>0.70244255581903858</v>
      </c>
      <c r="X34" s="81"/>
      <c r="Z34" s="154"/>
      <c r="AA34" s="154"/>
      <c r="AB34" s="154"/>
      <c r="AC34" s="154"/>
      <c r="AD34" s="210"/>
      <c r="AE34" s="210"/>
      <c r="AF34" s="212"/>
      <c r="AG34" s="212"/>
      <c r="AH34" s="212"/>
      <c r="AI34" s="212"/>
      <c r="AJ34" s="161"/>
      <c r="AK34" s="161"/>
    </row>
    <row r="35" spans="1:37" ht="11.25" x14ac:dyDescent="0.2">
      <c r="A35" s="138">
        <f t="shared" si="14"/>
        <v>2034</v>
      </c>
      <c r="B35" s="150">
        <v>24</v>
      </c>
      <c r="C35" s="151">
        <f t="shared" si="18"/>
        <v>2.2000000000000001E-3</v>
      </c>
      <c r="D35" s="152" t="str">
        <f t="shared" si="15"/>
        <v>2</v>
      </c>
      <c r="E35" s="24">
        <f t="shared" si="16"/>
        <v>715</v>
      </c>
      <c r="F35" s="75">
        <f t="shared" si="19"/>
        <v>533022.49</v>
      </c>
      <c r="G35" s="75">
        <f t="shared" si="0"/>
        <v>14400</v>
      </c>
      <c r="H35" s="75">
        <f t="shared" si="1"/>
        <v>547422.49</v>
      </c>
      <c r="I35" s="75">
        <f>'2016 Refinance 1.2% MAGI'!I35</f>
        <v>270000</v>
      </c>
      <c r="J35" s="75">
        <f>'2016 Refinance 1.2% MAGI'!J35</f>
        <v>128000</v>
      </c>
      <c r="K35" s="75">
        <f t="shared" si="9"/>
        <v>398000</v>
      </c>
      <c r="L35" s="75">
        <f t="shared" si="2"/>
        <v>0</v>
      </c>
      <c r="M35" s="75">
        <f t="shared" si="10"/>
        <v>398000</v>
      </c>
      <c r="N35" s="75"/>
      <c r="O35" s="75">
        <f t="shared" si="11"/>
        <v>6531000</v>
      </c>
      <c r="P35" s="75">
        <f t="shared" si="12"/>
        <v>6261000</v>
      </c>
      <c r="Q35" s="75">
        <f t="shared" si="13"/>
        <v>0</v>
      </c>
      <c r="R35" s="75">
        <f t="shared" si="4"/>
        <v>280449.97442184418</v>
      </c>
      <c r="S35" s="75">
        <f t="shared" si="5"/>
        <v>550449.97442184412</v>
      </c>
      <c r="T35" s="200">
        <f t="shared" si="17"/>
        <v>336958.86821768398</v>
      </c>
      <c r="U35" s="200">
        <f t="shared" si="6"/>
        <v>333931.38379583985</v>
      </c>
      <c r="V35" s="200">
        <f t="shared" si="7"/>
        <v>-3027.4844218441285</v>
      </c>
      <c r="W35" s="77">
        <f t="shared" si="8"/>
        <v>0.67078521502049204</v>
      </c>
      <c r="X35" s="81"/>
      <c r="Z35" s="154"/>
      <c r="AA35" s="154"/>
      <c r="AB35" s="154"/>
      <c r="AC35" s="154"/>
      <c r="AD35" s="210"/>
      <c r="AE35" s="210"/>
      <c r="AF35" s="212"/>
      <c r="AG35" s="212"/>
      <c r="AH35" s="212"/>
      <c r="AI35" s="212"/>
      <c r="AJ35" s="161"/>
      <c r="AK35" s="161"/>
    </row>
    <row r="36" spans="1:37" ht="11.25" x14ac:dyDescent="0.2">
      <c r="A36" s="142">
        <f t="shared" si="14"/>
        <v>2035</v>
      </c>
      <c r="B36" s="155">
        <v>25</v>
      </c>
      <c r="C36" s="156">
        <f t="shared" si="18"/>
        <v>2.2000000000000001E-3</v>
      </c>
      <c r="D36" s="157" t="str">
        <f t="shared" si="15"/>
        <v>2</v>
      </c>
      <c r="E36" s="158">
        <f t="shared" si="16"/>
        <v>717</v>
      </c>
      <c r="F36" s="159">
        <f t="shared" si="19"/>
        <v>534513.46199999994</v>
      </c>
      <c r="G36" s="159">
        <f t="shared" si="0"/>
        <v>14400</v>
      </c>
      <c r="H36" s="159">
        <f t="shared" si="1"/>
        <v>548913.46199999994</v>
      </c>
      <c r="I36" s="159">
        <f>'2016 Refinance 1.2% MAGI'!I36</f>
        <v>270000</v>
      </c>
      <c r="J36" s="159">
        <f>'2016 Refinance 1.2% MAGI'!J36</f>
        <v>143000</v>
      </c>
      <c r="K36" s="159">
        <f t="shared" si="9"/>
        <v>413000</v>
      </c>
      <c r="L36" s="159">
        <f t="shared" si="2"/>
        <v>0</v>
      </c>
      <c r="M36" s="159">
        <f t="shared" si="10"/>
        <v>413000</v>
      </c>
      <c r="N36" s="159"/>
      <c r="O36" s="159">
        <f t="shared" si="11"/>
        <v>6261000</v>
      </c>
      <c r="P36" s="159">
        <f t="shared" si="12"/>
        <v>5991000</v>
      </c>
      <c r="Q36" s="159">
        <f t="shared" si="13"/>
        <v>0</v>
      </c>
      <c r="R36" s="159">
        <f t="shared" si="4"/>
        <v>285498.07396143739</v>
      </c>
      <c r="S36" s="159">
        <f t="shared" si="5"/>
        <v>555498.07396143745</v>
      </c>
      <c r="T36" s="201">
        <f t="shared" si="17"/>
        <v>333931.38379583985</v>
      </c>
      <c r="U36" s="201">
        <f t="shared" si="6"/>
        <v>327346.77183440235</v>
      </c>
      <c r="V36" s="201">
        <f t="shared" si="7"/>
        <v>-6584.6119614375057</v>
      </c>
      <c r="W36" s="160">
        <f t="shared" si="8"/>
        <v>0.63780965626770592</v>
      </c>
      <c r="X36" s="81"/>
      <c r="Z36" s="154"/>
      <c r="AA36" s="154"/>
      <c r="AB36" s="154"/>
      <c r="AC36" s="154"/>
      <c r="AD36" s="210"/>
      <c r="AE36" s="210"/>
      <c r="AF36" s="212"/>
      <c r="AG36" s="212"/>
      <c r="AH36" s="212"/>
      <c r="AI36" s="212"/>
      <c r="AJ36" s="161"/>
      <c r="AK36" s="161"/>
    </row>
    <row r="37" spans="1:37" ht="11.25" x14ac:dyDescent="0.2">
      <c r="A37" s="138">
        <f t="shared" si="14"/>
        <v>2036</v>
      </c>
      <c r="B37" s="150">
        <v>26</v>
      </c>
      <c r="C37" s="151">
        <f t="shared" si="18"/>
        <v>2.2000000000000001E-3</v>
      </c>
      <c r="D37" s="152" t="str">
        <f t="shared" si="15"/>
        <v>2</v>
      </c>
      <c r="E37" s="24">
        <f t="shared" si="16"/>
        <v>719</v>
      </c>
      <c r="F37" s="75">
        <f t="shared" si="19"/>
        <v>536004.43400000001</v>
      </c>
      <c r="G37" s="75">
        <f t="shared" si="0"/>
        <v>14400</v>
      </c>
      <c r="H37" s="75">
        <f t="shared" si="1"/>
        <v>550404.43400000001</v>
      </c>
      <c r="I37" s="75">
        <f>'2016 Refinance 1.2% MAGI'!I37</f>
        <v>270000</v>
      </c>
      <c r="J37" s="75">
        <f>'2016 Refinance 1.2% MAGI'!J37</f>
        <v>159000</v>
      </c>
      <c r="K37" s="75">
        <f t="shared" si="9"/>
        <v>429000</v>
      </c>
      <c r="L37" s="75">
        <f t="shared" si="2"/>
        <v>0</v>
      </c>
      <c r="M37" s="75">
        <f t="shared" si="10"/>
        <v>429000</v>
      </c>
      <c r="N37" s="75"/>
      <c r="O37" s="75">
        <f t="shared" si="11"/>
        <v>5991000</v>
      </c>
      <c r="P37" s="75">
        <f t="shared" si="12"/>
        <v>5721000</v>
      </c>
      <c r="Q37" s="75">
        <f t="shared" si="13"/>
        <v>0</v>
      </c>
      <c r="R37" s="75">
        <f t="shared" si="4"/>
        <v>290637.03929274325</v>
      </c>
      <c r="S37" s="75">
        <f t="shared" si="5"/>
        <v>560637.0392927432</v>
      </c>
      <c r="T37" s="200">
        <f t="shared" si="17"/>
        <v>327346.77183440235</v>
      </c>
      <c r="U37" s="200">
        <f t="shared" si="6"/>
        <v>317114.16654165916</v>
      </c>
      <c r="V37" s="200">
        <f t="shared" si="7"/>
        <v>-10232.605292743188</v>
      </c>
      <c r="W37" s="77">
        <f t="shared" si="8"/>
        <v>0.60551840258101808</v>
      </c>
      <c r="X37" s="81"/>
      <c r="Z37" s="154"/>
      <c r="AA37" s="154"/>
      <c r="AB37" s="154"/>
      <c r="AC37" s="154"/>
      <c r="AD37" s="210"/>
      <c r="AE37" s="210"/>
      <c r="AF37" s="212"/>
      <c r="AG37" s="212"/>
      <c r="AH37" s="212"/>
      <c r="AI37" s="212"/>
      <c r="AJ37" s="161"/>
      <c r="AK37" s="161"/>
    </row>
    <row r="38" spans="1:37" ht="11.25" x14ac:dyDescent="0.2">
      <c r="A38" s="138">
        <f t="shared" si="14"/>
        <v>2037</v>
      </c>
      <c r="B38" s="150">
        <v>27</v>
      </c>
      <c r="C38" s="151">
        <f t="shared" si="18"/>
        <v>2.2000000000000001E-3</v>
      </c>
      <c r="D38" s="152" t="str">
        <f t="shared" si="15"/>
        <v>2</v>
      </c>
      <c r="E38" s="24">
        <f t="shared" si="16"/>
        <v>721</v>
      </c>
      <c r="F38" s="75">
        <f t="shared" si="19"/>
        <v>537495.40599999996</v>
      </c>
      <c r="G38" s="75">
        <f t="shared" si="0"/>
        <v>14400</v>
      </c>
      <c r="H38" s="75">
        <f t="shared" si="1"/>
        <v>551895.40599999996</v>
      </c>
      <c r="I38" s="75">
        <f>'2016 Refinance 1.2% MAGI'!I38</f>
        <v>270000</v>
      </c>
      <c r="J38" s="75">
        <f>'2016 Refinance 1.2% MAGI'!J38</f>
        <v>177000</v>
      </c>
      <c r="K38" s="75">
        <f t="shared" si="9"/>
        <v>447000</v>
      </c>
      <c r="L38" s="75">
        <f t="shared" si="2"/>
        <v>0</v>
      </c>
      <c r="M38" s="75">
        <f t="shared" si="10"/>
        <v>447000</v>
      </c>
      <c r="N38" s="75"/>
      <c r="O38" s="75">
        <f t="shared" si="11"/>
        <v>5721000</v>
      </c>
      <c r="P38" s="75">
        <f t="shared" si="12"/>
        <v>5451000</v>
      </c>
      <c r="Q38" s="75">
        <f t="shared" si="13"/>
        <v>0</v>
      </c>
      <c r="R38" s="75">
        <f t="shared" si="4"/>
        <v>295868.50600001268</v>
      </c>
      <c r="S38" s="75">
        <f t="shared" si="5"/>
        <v>565868.50600001263</v>
      </c>
      <c r="T38" s="200">
        <f t="shared" si="17"/>
        <v>317114.16654165916</v>
      </c>
      <c r="U38" s="200">
        <f t="shared" si="6"/>
        <v>303141.06654164649</v>
      </c>
      <c r="V38" s="200">
        <f t="shared" si="7"/>
        <v>-13973.100000012666</v>
      </c>
      <c r="W38" s="77">
        <f t="shared" si="8"/>
        <v>0.57276711409393122</v>
      </c>
      <c r="X38" s="81"/>
      <c r="Z38" s="154"/>
      <c r="AA38" s="154"/>
      <c r="AB38" s="154"/>
      <c r="AC38" s="154"/>
      <c r="AD38" s="210"/>
      <c r="AE38" s="210"/>
      <c r="AF38" s="212"/>
      <c r="AG38" s="212"/>
      <c r="AH38" s="212"/>
      <c r="AI38" s="212"/>
      <c r="AJ38" s="161"/>
      <c r="AK38" s="161"/>
    </row>
    <row r="39" spans="1:37" ht="11.25" x14ac:dyDescent="0.2">
      <c r="A39" s="153">
        <f t="shared" si="14"/>
        <v>2038</v>
      </c>
      <c r="B39" s="150">
        <v>28</v>
      </c>
      <c r="C39" s="151">
        <f t="shared" si="18"/>
        <v>2.2000000000000001E-3</v>
      </c>
      <c r="D39" s="152" t="str">
        <f t="shared" si="15"/>
        <v>2</v>
      </c>
      <c r="E39" s="24">
        <f t="shared" si="16"/>
        <v>723</v>
      </c>
      <c r="F39" s="75">
        <f t="shared" si="19"/>
        <v>538986.37800000003</v>
      </c>
      <c r="G39" s="75">
        <f t="shared" si="0"/>
        <v>14400</v>
      </c>
      <c r="H39" s="75">
        <f t="shared" si="1"/>
        <v>553386.37800000003</v>
      </c>
      <c r="I39" s="75">
        <f>'2016 Refinance 1.2% MAGI'!I39</f>
        <v>270000</v>
      </c>
      <c r="J39" s="75">
        <f>'2016 Refinance 1.2% MAGI'!J39</f>
        <v>194000</v>
      </c>
      <c r="K39" s="75">
        <f t="shared" si="9"/>
        <v>464000</v>
      </c>
      <c r="L39" s="75">
        <f t="shared" si="2"/>
        <v>0</v>
      </c>
      <c r="M39" s="75">
        <f t="shared" si="10"/>
        <v>464000</v>
      </c>
      <c r="O39" s="75">
        <f t="shared" si="11"/>
        <v>5451000</v>
      </c>
      <c r="P39" s="75">
        <f t="shared" si="12"/>
        <v>5181000</v>
      </c>
      <c r="Q39" s="75">
        <f t="shared" si="13"/>
        <v>0</v>
      </c>
      <c r="R39" s="75">
        <f t="shared" si="4"/>
        <v>301194.13910801284</v>
      </c>
      <c r="S39" s="75">
        <f t="shared" si="5"/>
        <v>571194.1391080129</v>
      </c>
      <c r="T39" s="200">
        <f t="shared" si="17"/>
        <v>303141.06654164649</v>
      </c>
      <c r="U39" s="200">
        <f t="shared" si="6"/>
        <v>285333.30543363362</v>
      </c>
      <c r="V39" s="200">
        <f t="shared" si="7"/>
        <v>-17807.76110801287</v>
      </c>
      <c r="W39" s="77">
        <f t="shared" si="8"/>
        <v>0.54351775623273102</v>
      </c>
      <c r="X39" s="81"/>
      <c r="Z39" s="154"/>
      <c r="AA39" s="154"/>
      <c r="AB39" s="154"/>
      <c r="AC39" s="154"/>
      <c r="AD39" s="210"/>
      <c r="AE39" s="210"/>
      <c r="AF39" s="212"/>
      <c r="AG39" s="212"/>
      <c r="AH39" s="212"/>
      <c r="AI39" s="212"/>
      <c r="AJ39" s="161"/>
      <c r="AK39" s="161"/>
    </row>
    <row r="40" spans="1:37" ht="11.25" x14ac:dyDescent="0.2">
      <c r="A40" s="153">
        <f t="shared" si="14"/>
        <v>2039</v>
      </c>
      <c r="B40" s="150">
        <v>29</v>
      </c>
      <c r="C40" s="151">
        <f t="shared" si="18"/>
        <v>2.2000000000000001E-3</v>
      </c>
      <c r="D40" s="152" t="str">
        <f t="shared" si="15"/>
        <v>2</v>
      </c>
      <c r="E40" s="24">
        <f t="shared" si="16"/>
        <v>725</v>
      </c>
      <c r="F40" s="75">
        <f t="shared" si="19"/>
        <v>540477.35</v>
      </c>
      <c r="G40" s="75">
        <f t="shared" si="0"/>
        <v>14400</v>
      </c>
      <c r="H40" s="75">
        <f t="shared" si="1"/>
        <v>554877.35</v>
      </c>
      <c r="I40" s="75">
        <f>'2016 Refinance 1.2% MAGI'!I40</f>
        <v>270000</v>
      </c>
      <c r="J40" s="75">
        <f>'2016 Refinance 1.2% MAGI'!J40</f>
        <v>212000</v>
      </c>
      <c r="K40" s="75">
        <f t="shared" si="9"/>
        <v>482000</v>
      </c>
      <c r="L40" s="75">
        <f t="shared" si="2"/>
        <v>0</v>
      </c>
      <c r="M40" s="75">
        <f t="shared" si="10"/>
        <v>482000</v>
      </c>
      <c r="O40" s="75">
        <f t="shared" si="11"/>
        <v>5181000</v>
      </c>
      <c r="P40" s="75">
        <f t="shared" si="12"/>
        <v>4911000</v>
      </c>
      <c r="Q40" s="75">
        <f t="shared" si="13"/>
        <v>0</v>
      </c>
      <c r="R40" s="75">
        <f t="shared" si="4"/>
        <v>306615.63361195714</v>
      </c>
      <c r="S40" s="75">
        <f t="shared" si="5"/>
        <v>576615.63361195708</v>
      </c>
      <c r="T40" s="200">
        <f t="shared" si="17"/>
        <v>285333.30543363362</v>
      </c>
      <c r="U40" s="200">
        <f t="shared" si="6"/>
        <v>263595.02182167652</v>
      </c>
      <c r="V40" s="200">
        <f t="shared" si="7"/>
        <v>-21738.2836119571</v>
      </c>
      <c r="W40" s="77">
        <f t="shared" si="8"/>
        <v>0.51506580163494364</v>
      </c>
      <c r="X40" s="81"/>
      <c r="Z40" s="154"/>
      <c r="AA40" s="154"/>
      <c r="AB40" s="154"/>
      <c r="AC40" s="154"/>
      <c r="AD40" s="210"/>
      <c r="AE40" s="210"/>
      <c r="AF40" s="212"/>
      <c r="AG40" s="212"/>
      <c r="AH40" s="212"/>
      <c r="AI40" s="212"/>
      <c r="AJ40" s="161"/>
      <c r="AK40" s="161"/>
    </row>
    <row r="41" spans="1:37" ht="11.25" x14ac:dyDescent="0.2">
      <c r="A41" s="153">
        <f t="shared" si="14"/>
        <v>2040</v>
      </c>
      <c r="B41" s="150">
        <v>30</v>
      </c>
      <c r="C41" s="151">
        <f t="shared" si="18"/>
        <v>2.2000000000000001E-3</v>
      </c>
      <c r="D41" s="152" t="str">
        <f t="shared" si="15"/>
        <v>2</v>
      </c>
      <c r="E41" s="24">
        <f t="shared" si="16"/>
        <v>727</v>
      </c>
      <c r="F41" s="75">
        <f t="shared" si="19"/>
        <v>541968.32200000004</v>
      </c>
      <c r="G41" s="75">
        <f t="shared" si="0"/>
        <v>14400</v>
      </c>
      <c r="H41" s="75">
        <f t="shared" si="1"/>
        <v>556368.32200000004</v>
      </c>
      <c r="I41" s="75">
        <f>'2016 Refinance 1.2% MAGI'!I41</f>
        <v>270000</v>
      </c>
      <c r="J41" s="75">
        <f>'2016 Refinance 1.2% MAGI'!J41</f>
        <v>230000</v>
      </c>
      <c r="K41" s="75">
        <f t="shared" si="9"/>
        <v>500000</v>
      </c>
      <c r="L41" s="75">
        <f t="shared" si="2"/>
        <v>0</v>
      </c>
      <c r="M41" s="75">
        <f t="shared" si="10"/>
        <v>500000</v>
      </c>
      <c r="O41" s="75">
        <f t="shared" si="11"/>
        <v>4911000</v>
      </c>
      <c r="P41" s="75">
        <f t="shared" si="12"/>
        <v>4641000</v>
      </c>
      <c r="Q41" s="75">
        <f t="shared" si="13"/>
        <v>0</v>
      </c>
      <c r="R41" s="75">
        <f t="shared" si="4"/>
        <v>312134.71501697233</v>
      </c>
      <c r="S41" s="75">
        <f t="shared" si="5"/>
        <v>582134.71501697227</v>
      </c>
      <c r="T41" s="200">
        <f t="shared" si="17"/>
        <v>263595.02182167652</v>
      </c>
      <c r="U41" s="200">
        <f t="shared" si="6"/>
        <v>237828.62880470429</v>
      </c>
      <c r="V41" s="200">
        <f t="shared" si="7"/>
        <v>-25766.39301697223</v>
      </c>
      <c r="W41" s="77">
        <f t="shared" si="8"/>
        <v>0.48846721396605541</v>
      </c>
      <c r="X41" s="81"/>
      <c r="Z41" s="154"/>
      <c r="AA41" s="154"/>
      <c r="AB41" s="154"/>
      <c r="AC41" s="154"/>
      <c r="AD41" s="210"/>
      <c r="AE41" s="210"/>
      <c r="AF41" s="212"/>
      <c r="AG41" s="212"/>
      <c r="AH41" s="212"/>
      <c r="AI41" s="212"/>
      <c r="AJ41" s="161"/>
      <c r="AK41" s="161"/>
    </row>
    <row r="42" spans="1:37" ht="11.25" x14ac:dyDescent="0.2">
      <c r="A42" s="153">
        <f t="shared" si="14"/>
        <v>2041</v>
      </c>
      <c r="B42" s="150">
        <v>31</v>
      </c>
      <c r="C42" s="151">
        <f t="shared" si="18"/>
        <v>2.2000000000000001E-3</v>
      </c>
      <c r="D42" s="152" t="str">
        <f t="shared" si="15"/>
        <v>2</v>
      </c>
      <c r="E42" s="24">
        <f t="shared" si="16"/>
        <v>729</v>
      </c>
      <c r="F42" s="75">
        <f t="shared" si="19"/>
        <v>543459.29399999999</v>
      </c>
      <c r="G42" s="75">
        <f t="shared" si="0"/>
        <v>14400</v>
      </c>
      <c r="H42" s="75">
        <f t="shared" si="1"/>
        <v>557859.29399999999</v>
      </c>
      <c r="I42" s="75">
        <f>'2016 Refinance 1.2% MAGI'!I42</f>
        <v>270000</v>
      </c>
      <c r="J42" s="75">
        <f>'2016 Refinance 1.2% MAGI'!J42</f>
        <v>249000</v>
      </c>
      <c r="K42" s="75">
        <f t="shared" si="9"/>
        <v>519000</v>
      </c>
      <c r="L42" s="75">
        <f t="shared" si="2"/>
        <v>0</v>
      </c>
      <c r="M42" s="75">
        <f t="shared" si="10"/>
        <v>519000</v>
      </c>
      <c r="O42" s="75">
        <f t="shared" si="11"/>
        <v>4641000</v>
      </c>
      <c r="P42" s="75">
        <f t="shared" si="12"/>
        <v>4371000</v>
      </c>
      <c r="Q42" s="75">
        <f t="shared" si="13"/>
        <v>0</v>
      </c>
      <c r="R42" s="75">
        <f t="shared" si="4"/>
        <v>317753.13988727785</v>
      </c>
      <c r="S42" s="75">
        <f t="shared" si="5"/>
        <v>587753.13988727785</v>
      </c>
      <c r="T42" s="200">
        <f t="shared" si="17"/>
        <v>237828.62880470429</v>
      </c>
      <c r="U42" s="200">
        <f t="shared" si="6"/>
        <v>207934.78291742643</v>
      </c>
      <c r="V42" s="200">
        <f t="shared" si="7"/>
        <v>-29893.845887277857</v>
      </c>
      <c r="W42" s="77">
        <f t="shared" si="8"/>
        <v>0.46263228152740299</v>
      </c>
      <c r="X42" s="81"/>
      <c r="Z42" s="154"/>
      <c r="AA42" s="154"/>
      <c r="AB42" s="154"/>
      <c r="AC42" s="154"/>
      <c r="AD42" s="210"/>
      <c r="AE42" s="210"/>
      <c r="AF42" s="212"/>
      <c r="AG42" s="212"/>
      <c r="AH42" s="212"/>
      <c r="AI42" s="212"/>
      <c r="AJ42" s="161"/>
      <c r="AK42" s="161"/>
    </row>
    <row r="43" spans="1:37" ht="11.25" x14ac:dyDescent="0.2">
      <c r="A43" s="153">
        <f t="shared" si="14"/>
        <v>2042</v>
      </c>
      <c r="B43" s="150">
        <v>32</v>
      </c>
      <c r="C43" s="151">
        <f t="shared" si="18"/>
        <v>2.2000000000000001E-3</v>
      </c>
      <c r="D43" s="152" t="str">
        <f t="shared" si="15"/>
        <v>2</v>
      </c>
      <c r="E43" s="24">
        <f t="shared" si="16"/>
        <v>731</v>
      </c>
      <c r="F43" s="75">
        <f t="shared" si="19"/>
        <v>544950.26599999995</v>
      </c>
      <c r="G43" s="75">
        <f t="shared" si="0"/>
        <v>14400</v>
      </c>
      <c r="H43" s="75">
        <f t="shared" si="1"/>
        <v>559350.26599999995</v>
      </c>
      <c r="I43" s="75">
        <f>'2016 Refinance 1.2% MAGI'!I43</f>
        <v>270000</v>
      </c>
      <c r="J43" s="75">
        <f>'2016 Refinance 1.2% MAGI'!J43</f>
        <v>268000</v>
      </c>
      <c r="K43" s="75">
        <f t="shared" si="9"/>
        <v>538000</v>
      </c>
      <c r="L43" s="75">
        <f t="shared" si="2"/>
        <v>0</v>
      </c>
      <c r="M43" s="75">
        <f t="shared" si="10"/>
        <v>538000</v>
      </c>
      <c r="O43" s="75">
        <f t="shared" si="11"/>
        <v>4371000</v>
      </c>
      <c r="P43" s="75">
        <f t="shared" si="12"/>
        <v>4101000</v>
      </c>
      <c r="Q43" s="75">
        <f t="shared" si="13"/>
        <v>0</v>
      </c>
      <c r="R43" s="75">
        <f t="shared" si="4"/>
        <v>323472.69640524883</v>
      </c>
      <c r="S43" s="75">
        <f t="shared" si="5"/>
        <v>593472.69640524883</v>
      </c>
      <c r="T43" s="200">
        <f t="shared" si="17"/>
        <v>207934.78291742643</v>
      </c>
      <c r="U43" s="200">
        <f t="shared" si="6"/>
        <v>173812.35251217755</v>
      </c>
      <c r="V43" s="200">
        <f t="shared" si="7"/>
        <v>-34122.430405248888</v>
      </c>
      <c r="W43" s="77">
        <f t="shared" si="8"/>
        <v>0.4384341442281619</v>
      </c>
      <c r="X43" s="81"/>
      <c r="Z43" s="154"/>
      <c r="AA43" s="154"/>
      <c r="AB43" s="154"/>
      <c r="AC43" s="154"/>
      <c r="AD43" s="210"/>
      <c r="AE43" s="210"/>
      <c r="AF43" s="212"/>
      <c r="AG43" s="212"/>
      <c r="AH43" s="212"/>
      <c r="AI43" s="212"/>
      <c r="AJ43" s="161"/>
      <c r="AK43" s="161"/>
    </row>
    <row r="44" spans="1:37" ht="11.25" x14ac:dyDescent="0.2">
      <c r="A44" s="153">
        <f t="shared" si="14"/>
        <v>2043</v>
      </c>
      <c r="B44" s="150">
        <v>33</v>
      </c>
      <c r="C44" s="151">
        <f t="shared" si="18"/>
        <v>2.2000000000000001E-3</v>
      </c>
      <c r="D44" s="152" t="str">
        <f t="shared" si="15"/>
        <v>2</v>
      </c>
      <c r="E44" s="24">
        <f t="shared" si="16"/>
        <v>733</v>
      </c>
      <c r="F44" s="75">
        <f t="shared" si="19"/>
        <v>546441.23800000001</v>
      </c>
      <c r="G44" s="75">
        <f t="shared" si="0"/>
        <v>14400</v>
      </c>
      <c r="H44" s="75">
        <f t="shared" si="1"/>
        <v>560841.23800000001</v>
      </c>
      <c r="I44" s="75">
        <f>'2016 Refinance 1.2% MAGI'!I44</f>
        <v>270000</v>
      </c>
      <c r="J44" s="75">
        <f>'2016 Refinance 1.2% MAGI'!J44</f>
        <v>288000</v>
      </c>
      <c r="K44" s="75">
        <f t="shared" si="9"/>
        <v>558000</v>
      </c>
      <c r="L44" s="75">
        <f t="shared" si="2"/>
        <v>0</v>
      </c>
      <c r="M44" s="75">
        <f t="shared" si="10"/>
        <v>558000</v>
      </c>
      <c r="O44" s="75">
        <f t="shared" si="11"/>
        <v>4101000</v>
      </c>
      <c r="P44" s="75">
        <f t="shared" si="12"/>
        <v>3831000</v>
      </c>
      <c r="Q44" s="75">
        <f t="shared" si="13"/>
        <v>0</v>
      </c>
      <c r="R44" s="75">
        <f t="shared" si="4"/>
        <v>329295.20494054334</v>
      </c>
      <c r="S44" s="75">
        <f t="shared" si="5"/>
        <v>599295.20494054328</v>
      </c>
      <c r="T44" s="200">
        <f t="shared" si="17"/>
        <v>173812.35251217755</v>
      </c>
      <c r="U44" s="200">
        <f t="shared" si="6"/>
        <v>135358.38557163428</v>
      </c>
      <c r="V44" s="200">
        <f t="shared" si="7"/>
        <v>-38453.966940543265</v>
      </c>
      <c r="W44" s="77">
        <f t="shared" si="8"/>
        <v>0.41495704849364995</v>
      </c>
      <c r="X44" s="81"/>
      <c r="Z44" s="154"/>
      <c r="AA44" s="154"/>
      <c r="AB44" s="154"/>
      <c r="AC44" s="154"/>
      <c r="AD44" s="210"/>
      <c r="AE44" s="210"/>
      <c r="AF44" s="212"/>
      <c r="AG44" s="212"/>
      <c r="AH44" s="212"/>
      <c r="AI44" s="212"/>
      <c r="AJ44" s="161"/>
      <c r="AK44" s="161"/>
    </row>
    <row r="45" spans="1:37" ht="11.25" x14ac:dyDescent="0.2">
      <c r="A45" s="153">
        <f t="shared" si="14"/>
        <v>2044</v>
      </c>
      <c r="B45" s="150">
        <v>34</v>
      </c>
      <c r="C45" s="151">
        <f t="shared" si="18"/>
        <v>2.2000000000000001E-3</v>
      </c>
      <c r="D45" s="152" t="str">
        <f t="shared" si="15"/>
        <v>2</v>
      </c>
      <c r="E45" s="24">
        <f t="shared" si="16"/>
        <v>735</v>
      </c>
      <c r="F45" s="75">
        <f t="shared" si="19"/>
        <v>547932.21</v>
      </c>
      <c r="G45" s="75">
        <f t="shared" si="0"/>
        <v>14400</v>
      </c>
      <c r="H45" s="75">
        <f t="shared" si="1"/>
        <v>562332.21</v>
      </c>
      <c r="I45" s="75">
        <f>'2016 Refinance 1.2% MAGI'!I45</f>
        <v>270000</v>
      </c>
      <c r="J45" s="75">
        <f>'2016 Refinance 1.2% MAGI'!J45</f>
        <v>308000</v>
      </c>
      <c r="K45" s="75">
        <f t="shared" si="9"/>
        <v>578000</v>
      </c>
      <c r="L45" s="75">
        <f t="shared" si="2"/>
        <v>0</v>
      </c>
      <c r="M45" s="75">
        <f t="shared" si="10"/>
        <v>578000</v>
      </c>
      <c r="O45" s="75">
        <f t="shared" si="11"/>
        <v>3831000</v>
      </c>
      <c r="P45" s="75">
        <f t="shared" si="12"/>
        <v>3561000</v>
      </c>
      <c r="Q45" s="75">
        <f t="shared" si="13"/>
        <v>0</v>
      </c>
      <c r="R45" s="75">
        <f t="shared" si="4"/>
        <v>335222.51862947311</v>
      </c>
      <c r="S45" s="75">
        <f t="shared" si="5"/>
        <v>605222.51862947317</v>
      </c>
      <c r="T45" s="200">
        <f t="shared" si="17"/>
        <v>135358.38557163428</v>
      </c>
      <c r="U45" s="200">
        <f t="shared" si="6"/>
        <v>92468.076942161075</v>
      </c>
      <c r="V45" s="200">
        <f t="shared" si="7"/>
        <v>-42890.308629473206</v>
      </c>
      <c r="W45" s="77">
        <f t="shared" si="8"/>
        <v>0.39292334147149977</v>
      </c>
      <c r="X45" s="81"/>
      <c r="Z45" s="154"/>
      <c r="AA45" s="154"/>
      <c r="AB45" s="154"/>
      <c r="AC45" s="154"/>
      <c r="AD45" s="210"/>
      <c r="AE45" s="210"/>
      <c r="AF45" s="212"/>
      <c r="AG45" s="212"/>
      <c r="AH45" s="212"/>
      <c r="AI45" s="212"/>
      <c r="AJ45" s="161"/>
      <c r="AK45" s="161"/>
    </row>
    <row r="46" spans="1:37" ht="11.25" x14ac:dyDescent="0.2">
      <c r="A46" s="153">
        <f t="shared" si="14"/>
        <v>2045</v>
      </c>
      <c r="B46" s="150">
        <v>35</v>
      </c>
      <c r="C46" s="151">
        <f t="shared" si="18"/>
        <v>2.2000000000000001E-3</v>
      </c>
      <c r="D46" s="152" t="str">
        <f t="shared" si="15"/>
        <v>2</v>
      </c>
      <c r="E46" s="24">
        <f t="shared" si="16"/>
        <v>737</v>
      </c>
      <c r="F46" s="75">
        <f t="shared" si="19"/>
        <v>549423.18200000003</v>
      </c>
      <c r="G46" s="75">
        <f t="shared" si="0"/>
        <v>14400</v>
      </c>
      <c r="H46" s="75">
        <f t="shared" si="1"/>
        <v>563823.18200000003</v>
      </c>
      <c r="I46" s="159">
        <f>'2016 Refinance 1.2% MAGI'!I46</f>
        <v>270000</v>
      </c>
      <c r="J46" s="159">
        <f>'2016 Refinance 1.2% MAGI'!J46</f>
        <v>328000</v>
      </c>
      <c r="K46" s="75">
        <f t="shared" si="9"/>
        <v>598000</v>
      </c>
      <c r="L46" s="75">
        <f t="shared" si="2"/>
        <v>0</v>
      </c>
      <c r="M46" s="75">
        <f>K46+L46-L47</f>
        <v>598000</v>
      </c>
      <c r="O46" s="75">
        <f t="shared" si="11"/>
        <v>3561000</v>
      </c>
      <c r="P46" s="75">
        <f t="shared" si="12"/>
        <v>3291000</v>
      </c>
      <c r="Q46" s="75">
        <f t="shared" si="13"/>
        <v>0</v>
      </c>
      <c r="R46" s="75">
        <f t="shared" si="4"/>
        <v>341256.52396480367</v>
      </c>
      <c r="S46" s="159">
        <f t="shared" si="5"/>
        <v>611256.52396480367</v>
      </c>
      <c r="T46" s="200">
        <f t="shared" si="17"/>
        <v>92468.076942161075</v>
      </c>
      <c r="U46" s="200">
        <f t="shared" si="6"/>
        <v>45034.734977357439</v>
      </c>
      <c r="V46" s="200">
        <f>+H46-(S46)</f>
        <v>-47433.341964803636</v>
      </c>
      <c r="W46" s="160">
        <f t="shared" si="8"/>
        <v>0.37218504688159926</v>
      </c>
      <c r="X46" s="161"/>
      <c r="Z46" s="154"/>
      <c r="AA46" s="161"/>
      <c r="AB46" s="154"/>
      <c r="AC46" s="154"/>
      <c r="AD46" s="210"/>
      <c r="AE46" s="210"/>
      <c r="AF46" s="212"/>
      <c r="AG46" s="212"/>
      <c r="AH46" s="212"/>
      <c r="AI46" s="212"/>
      <c r="AJ46" s="161"/>
      <c r="AK46" s="161"/>
    </row>
    <row r="47" spans="1:37" thickBot="1" x14ac:dyDescent="0.25">
      <c r="A47" s="162"/>
      <c r="B47" s="162"/>
      <c r="C47" s="162"/>
      <c r="D47" s="162"/>
      <c r="E47" s="162"/>
      <c r="F47" s="162"/>
      <c r="G47" s="162"/>
      <c r="H47" s="105"/>
      <c r="I47" s="171">
        <f>SUM(I17:I46)</f>
        <v>7449000</v>
      </c>
      <c r="J47" s="171">
        <f>SUM(J17:J46)</f>
        <v>3291000</v>
      </c>
      <c r="K47" s="163">
        <f>SUM(K17:K46)</f>
        <v>10740000</v>
      </c>
      <c r="L47" s="163">
        <f>SUM(L17:L46)</f>
        <v>0</v>
      </c>
      <c r="M47" s="163">
        <f>SUM(M17:M46)</f>
        <v>10740000</v>
      </c>
      <c r="N47" s="84"/>
      <c r="O47" s="105"/>
      <c r="P47" s="84"/>
      <c r="Q47" s="84"/>
      <c r="R47" s="84"/>
      <c r="S47" s="75"/>
      <c r="T47" s="84"/>
      <c r="U47" s="84"/>
      <c r="V47" s="162"/>
      <c r="W47" s="75"/>
      <c r="X47" s="77"/>
      <c r="Z47" s="161"/>
      <c r="AA47" s="161"/>
      <c r="AB47" s="161"/>
      <c r="AC47" s="161"/>
      <c r="AD47" s="161"/>
      <c r="AE47" s="210"/>
      <c r="AF47" s="212"/>
      <c r="AG47" s="212"/>
      <c r="AH47" s="212"/>
      <c r="AI47" s="212"/>
      <c r="AJ47" s="161"/>
      <c r="AK47" s="161"/>
    </row>
    <row r="48" spans="1:37" thickTop="1" x14ac:dyDescent="0.2">
      <c r="A48" s="153"/>
      <c r="B48" s="150"/>
      <c r="C48" s="151"/>
      <c r="D48" s="152"/>
      <c r="E48" s="24"/>
      <c r="H48" s="164"/>
      <c r="O48" s="5"/>
      <c r="P48" s="75"/>
      <c r="Q48" s="5"/>
      <c r="U48" s="5"/>
      <c r="Z48" s="154"/>
      <c r="AA48" s="154"/>
      <c r="AB48" s="154"/>
      <c r="AC48" s="154"/>
      <c r="AD48" s="154"/>
      <c r="AE48" s="210"/>
      <c r="AF48" s="210"/>
      <c r="AG48" s="210"/>
      <c r="AH48" s="210"/>
      <c r="AI48" s="210"/>
      <c r="AJ48" s="161"/>
      <c r="AK48" s="161"/>
    </row>
    <row r="49" spans="1:37" ht="11.25" x14ac:dyDescent="0.2">
      <c r="B49" s="150"/>
      <c r="C49" s="151"/>
      <c r="D49" s="152"/>
      <c r="E49" s="24"/>
      <c r="F49" s="81"/>
      <c r="I49" s="87"/>
      <c r="J49" s="167" t="s">
        <v>78</v>
      </c>
      <c r="K49" s="168">
        <f>K47</f>
        <v>10740000</v>
      </c>
      <c r="L49" s="75"/>
      <c r="M49" s="75"/>
      <c r="N49" s="81"/>
      <c r="O49" s="81"/>
      <c r="P49" s="81"/>
      <c r="Q49" s="5"/>
      <c r="U49" s="5"/>
      <c r="Z49" s="161"/>
      <c r="AA49" s="161"/>
      <c r="AB49" s="161"/>
      <c r="AC49" s="161"/>
      <c r="AD49" s="161"/>
      <c r="AE49" s="210"/>
      <c r="AF49" s="161"/>
      <c r="AG49" s="214"/>
      <c r="AH49" s="161"/>
      <c r="AI49" s="161"/>
      <c r="AJ49" s="161"/>
      <c r="AK49" s="161"/>
    </row>
    <row r="50" spans="1:37" ht="11.25" x14ac:dyDescent="0.2">
      <c r="A50" s="153"/>
      <c r="B50" s="150"/>
      <c r="C50" s="151"/>
      <c r="D50" s="152"/>
      <c r="E50" s="24"/>
      <c r="I50" s="90"/>
      <c r="J50" s="90"/>
      <c r="K50" s="90"/>
      <c r="L50" s="90"/>
      <c r="M50" s="90"/>
      <c r="AH50" s="81"/>
      <c r="AI50" s="81"/>
    </row>
    <row r="51" spans="1:37" ht="11.25" x14ac:dyDescent="0.2">
      <c r="A51" s="153"/>
      <c r="B51" s="150"/>
      <c r="C51" s="151"/>
      <c r="D51" s="152"/>
      <c r="E51" s="24"/>
      <c r="AH51" s="81"/>
      <c r="AI51" s="81"/>
    </row>
    <row r="52" spans="1:37" ht="11.25" x14ac:dyDescent="0.2">
      <c r="A52" s="153"/>
      <c r="B52" s="150"/>
      <c r="C52" s="151"/>
      <c r="D52" s="152"/>
      <c r="E52" s="24"/>
      <c r="H52" s="169"/>
      <c r="AH52" s="81"/>
      <c r="AI52" s="81"/>
    </row>
    <row r="53" spans="1:37" ht="11.25" x14ac:dyDescent="0.2">
      <c r="A53" s="166" t="s">
        <v>87</v>
      </c>
      <c r="B53" s="38"/>
      <c r="E53" s="5">
        <f>'2016 Refinance 1.2% MAGI'!E53</f>
        <v>800</v>
      </c>
      <c r="F53" s="198" t="s">
        <v>89</v>
      </c>
      <c r="H53" s="207">
        <f>'2016 Refinance 1.2% MAGI'!H53</f>
        <v>64</v>
      </c>
      <c r="I53" s="5" t="s">
        <v>88</v>
      </c>
      <c r="AH53" s="81"/>
      <c r="AI53" s="81"/>
    </row>
    <row r="54" spans="1:37" ht="11.25" x14ac:dyDescent="0.2">
      <c r="A54" s="153"/>
      <c r="B54" s="150"/>
      <c r="C54" s="151"/>
      <c r="D54" s="152"/>
      <c r="E54" s="24"/>
      <c r="I54" s="94"/>
      <c r="J54" s="94"/>
      <c r="K54" s="94"/>
      <c r="L54" s="94"/>
      <c r="M54" s="94"/>
      <c r="AH54" s="81"/>
      <c r="AI54" s="81"/>
    </row>
    <row r="55" spans="1:37" ht="11.25" x14ac:dyDescent="0.2">
      <c r="A55" s="153"/>
      <c r="B55" s="150"/>
      <c r="C55" s="151"/>
      <c r="D55" s="152"/>
      <c r="E55" s="24"/>
      <c r="AH55" s="81"/>
      <c r="AI55" s="81"/>
    </row>
  </sheetData>
  <pageMargins left="0.7" right="0.7" top="0.75" bottom="0.75" header="0.3" footer="0.3"/>
  <pageSetup scale="60" orientation="landscape" r:id="rId1"/>
  <colBreaks count="1" manualBreakCount="1">
    <brk id="2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Original Bond</vt:lpstr>
      <vt:lpstr>2016 Refinance 1.2% MAGI</vt:lpstr>
      <vt:lpstr>2016 Refinance 1.2% MAGI Check</vt:lpstr>
      <vt:lpstr>'2016 Refinance 1.2% MAGI'!Print_Area</vt:lpstr>
      <vt:lpstr>'2016 Refinance 1.2% MAGI Check'!Print_Area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Cook</dc:creator>
  <cp:lastModifiedBy>Teri</cp:lastModifiedBy>
  <cp:lastPrinted>2015-02-10T22:27:08Z</cp:lastPrinted>
  <dcterms:created xsi:type="dcterms:W3CDTF">2015-01-27T20:24:00Z</dcterms:created>
  <dcterms:modified xsi:type="dcterms:W3CDTF">2015-02-20T23:50:37Z</dcterms:modified>
</cp:coreProperties>
</file>